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Arkusz1" sheetId="1" r:id="rId1"/>
  </sheets>
  <definedNames>
    <definedName name="_xlnm.Print_Area" localSheetId="0">Arkusz1!$A$1:$L$67</definedName>
    <definedName name="_xlnm.Print_Titles" localSheetId="0">Arkusz1!$6:$7</definedName>
  </definedNames>
  <calcPr calcId="152511"/>
</workbook>
</file>

<file path=xl/calcChain.xml><?xml version="1.0" encoding="utf-8"?>
<calcChain xmlns="http://schemas.openxmlformats.org/spreadsheetml/2006/main">
  <c r="D8" i="1" l="1"/>
  <c r="D64" i="1"/>
  <c r="D65" i="1"/>
  <c r="D66" i="1"/>
  <c r="D62" i="1"/>
  <c r="D63" i="1"/>
  <c r="D59" i="1"/>
  <c r="D60" i="1"/>
  <c r="D61" i="1"/>
  <c r="D54" i="1"/>
  <c r="D55" i="1"/>
  <c r="D56" i="1"/>
  <c r="D57" i="1"/>
  <c r="D58" i="1"/>
  <c r="D45" i="1"/>
  <c r="D46" i="1"/>
  <c r="D47" i="1"/>
  <c r="D48" i="1"/>
  <c r="D49" i="1"/>
  <c r="D50" i="1"/>
  <c r="D51" i="1"/>
  <c r="D52" i="1"/>
  <c r="D53" i="1"/>
  <c r="D41" i="1"/>
  <c r="D42" i="1"/>
  <c r="D43" i="1"/>
  <c r="D44" i="1"/>
  <c r="D32" i="1"/>
  <c r="D33" i="1"/>
  <c r="D34" i="1"/>
  <c r="D35" i="1"/>
  <c r="D36" i="1"/>
  <c r="D37" i="1"/>
  <c r="D38" i="1"/>
  <c r="D39" i="1"/>
  <c r="D40" i="1"/>
  <c r="D29" i="1"/>
  <c r="D30" i="1"/>
  <c r="D31" i="1"/>
  <c r="D28" i="1"/>
  <c r="D27" i="1"/>
  <c r="D26" i="1"/>
  <c r="D25" i="1"/>
  <c r="D24" i="1"/>
  <c r="D23" i="1"/>
  <c r="D22" i="1"/>
  <c r="D19" i="1"/>
  <c r="D20" i="1"/>
  <c r="D21" i="1"/>
  <c r="D18" i="1"/>
  <c r="D10" i="1"/>
  <c r="D11" i="1"/>
  <c r="D12" i="1"/>
  <c r="D13" i="1"/>
  <c r="D14" i="1"/>
  <c r="D15" i="1"/>
  <c r="D16" i="1"/>
  <c r="D17" i="1"/>
  <c r="D9" i="1"/>
  <c r="K59" i="1"/>
  <c r="J59" i="1"/>
  <c r="I59" i="1"/>
  <c r="H59" i="1"/>
  <c r="G59" i="1"/>
  <c r="C59" i="1"/>
  <c r="I55" i="1"/>
  <c r="H55" i="1"/>
  <c r="G55" i="1"/>
  <c r="C55" i="1"/>
  <c r="K40" i="1"/>
  <c r="I40" i="1"/>
  <c r="H40" i="1"/>
  <c r="G40" i="1"/>
  <c r="F40" i="1"/>
  <c r="K27" i="1"/>
  <c r="J27" i="1"/>
  <c r="I27" i="1"/>
  <c r="H27" i="1"/>
  <c r="G27" i="1"/>
  <c r="F27" i="1"/>
  <c r="C27" i="1"/>
  <c r="K25" i="1"/>
  <c r="J25" i="1"/>
  <c r="I25" i="1"/>
  <c r="H25" i="1"/>
  <c r="G25" i="1"/>
  <c r="F25" i="1"/>
  <c r="C25" i="1"/>
  <c r="K23" i="1"/>
  <c r="J23" i="1"/>
  <c r="I23" i="1"/>
  <c r="H23" i="1"/>
  <c r="F23" i="1"/>
  <c r="K8" i="1"/>
  <c r="J8" i="1"/>
  <c r="I8" i="1"/>
  <c r="H8" i="1"/>
  <c r="N8" i="1" l="1"/>
  <c r="M66" i="1"/>
  <c r="M64" i="1"/>
  <c r="M49" i="1"/>
  <c r="M46" i="1"/>
  <c r="M44" i="1" s="1"/>
  <c r="M40" i="1"/>
  <c r="M33" i="1"/>
  <c r="M28" i="1"/>
  <c r="M27" i="1" s="1"/>
  <c r="J56" i="1" l="1"/>
  <c r="J55" i="1" s="1"/>
  <c r="I22" i="1" l="1"/>
  <c r="J22" i="1" l="1"/>
  <c r="K63" i="1"/>
  <c r="J65" i="1"/>
  <c r="K56" i="1"/>
  <c r="K55" i="1" s="1"/>
  <c r="K65" i="1" l="1"/>
  <c r="J42" i="1" l="1"/>
  <c r="J40" i="1" s="1"/>
  <c r="J47" i="1" l="1"/>
  <c r="J48" i="1"/>
  <c r="I46" i="1"/>
  <c r="I44" i="1" s="1"/>
  <c r="K44" i="1"/>
  <c r="H44" i="1"/>
  <c r="F44" i="1"/>
  <c r="C46" i="1"/>
  <c r="J46" i="1" l="1"/>
  <c r="C24" i="1"/>
  <c r="C23" i="1" s="1"/>
  <c r="J44" i="1" l="1"/>
  <c r="I53" i="1"/>
  <c r="H66" i="1" l="1"/>
  <c r="I64" i="1"/>
  <c r="H50" i="1" l="1"/>
  <c r="H51" i="1"/>
  <c r="C18" i="1" l="1"/>
  <c r="I66" i="1" l="1"/>
  <c r="C58" i="1" l="1"/>
  <c r="G53" i="1"/>
  <c r="G52" i="1"/>
  <c r="G51" i="1"/>
  <c r="G50" i="1"/>
  <c r="G48" i="1"/>
  <c r="G47" i="1"/>
  <c r="G46" i="1"/>
  <c r="G45" i="1"/>
  <c r="F18" i="1"/>
  <c r="G44" i="1" l="1"/>
  <c r="G24" i="1" l="1"/>
  <c r="G23" i="1" l="1"/>
  <c r="H18" i="1"/>
  <c r="I18" i="1"/>
  <c r="J18" i="1"/>
  <c r="K18" i="1"/>
  <c r="H49" i="1" l="1"/>
  <c r="I49" i="1"/>
  <c r="J49" i="1"/>
  <c r="K49" i="1"/>
  <c r="G49" i="1"/>
  <c r="F49" i="1"/>
  <c r="C49" i="1"/>
  <c r="N32" i="1" l="1"/>
  <c r="F60" i="1" l="1"/>
  <c r="F59" i="1" l="1"/>
  <c r="G33" i="1"/>
  <c r="H33" i="1"/>
  <c r="H67" i="1" s="1"/>
  <c r="I33" i="1"/>
  <c r="I67" i="1" s="1"/>
  <c r="J33" i="1"/>
  <c r="J67" i="1" s="1"/>
  <c r="K33" i="1"/>
  <c r="K67" i="1" s="1"/>
  <c r="F33" i="1"/>
  <c r="C42" i="1" l="1"/>
  <c r="C40" i="1" s="1"/>
  <c r="G13" i="1" l="1"/>
  <c r="F12" i="1"/>
  <c r="F17" i="1"/>
  <c r="F10" i="1"/>
  <c r="F11" i="1"/>
  <c r="F9" i="1"/>
  <c r="F16" i="1"/>
  <c r="F15" i="1"/>
  <c r="F14" i="1"/>
  <c r="F8" i="1" l="1"/>
  <c r="F67" i="1" s="1"/>
  <c r="G14" i="1"/>
  <c r="G16" i="1"/>
  <c r="G17" i="1"/>
  <c r="G12" i="1"/>
  <c r="G11" i="1"/>
  <c r="G15" i="1"/>
  <c r="G10" i="1"/>
  <c r="G9" i="1"/>
  <c r="G8" i="1" l="1"/>
  <c r="C37" i="1"/>
  <c r="C33" i="1" s="1"/>
  <c r="G19" i="1" l="1"/>
  <c r="C8" i="1"/>
  <c r="C67" i="1" s="1"/>
  <c r="G18" i="1" l="1"/>
  <c r="G67" i="1" s="1"/>
  <c r="D67" i="1" l="1"/>
</calcChain>
</file>

<file path=xl/sharedStrings.xml><?xml version="1.0" encoding="utf-8"?>
<sst xmlns="http://schemas.openxmlformats.org/spreadsheetml/2006/main" count="193" uniqueCount="143">
  <si>
    <t>Lp.</t>
  </si>
  <si>
    <t>Zadanie</t>
  </si>
  <si>
    <t>Okres realizacji</t>
  </si>
  <si>
    <t>1.</t>
  </si>
  <si>
    <t>Długość w km</t>
  </si>
  <si>
    <t>2014-2015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</si>
  <si>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</si>
  <si>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</si>
  <si>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</si>
  <si>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</si>
  <si>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</si>
  <si>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</si>
  <si>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</si>
  <si>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</si>
  <si>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</si>
  <si>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</si>
  <si>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</si>
  <si>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</si>
  <si>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</si>
  <si>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</si>
  <si>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</si>
  <si>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</si>
  <si>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19.</t>
  </si>
  <si>
    <t>20.</t>
  </si>
  <si>
    <t>21.</t>
  </si>
  <si>
    <t>22.</t>
  </si>
  <si>
    <t>2016-2017</t>
  </si>
  <si>
    <t>Budowa ulicy Krzywólka</t>
  </si>
  <si>
    <t>Koszt realizacji (PLN)</t>
  </si>
  <si>
    <t>ul. Toruńska</t>
  </si>
  <si>
    <t>ul. Szczecińska</t>
  </si>
  <si>
    <t>ul. Koszalińska</t>
  </si>
  <si>
    <t>ul. Tarnobrzeska</t>
  </si>
  <si>
    <t>ul. Zamojska</t>
  </si>
  <si>
    <t>ul. Elbląska</t>
  </si>
  <si>
    <t>ul. Słupska</t>
  </si>
  <si>
    <t>ul. Gdańska</t>
  </si>
  <si>
    <t xml:space="preserve">ul. Batalionów Chłopskich 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</si>
  <si>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</si>
  <si>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</si>
  <si>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</si>
  <si>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</si>
  <si>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</si>
  <si>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</si>
  <si>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</si>
  <si>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</si>
  <si>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</si>
  <si>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ul. Gorzowska</t>
  </si>
  <si>
    <t>ul. Katowicka</t>
  </si>
  <si>
    <t>ul. Ełcka</t>
  </si>
  <si>
    <t>ul. Węgorzewska</t>
  </si>
  <si>
    <t>ul. Olecka</t>
  </si>
  <si>
    <t>ul. Giżycka</t>
  </si>
  <si>
    <t>ul. Gołdapska</t>
  </si>
  <si>
    <t>ul. Kołłątaja</t>
  </si>
  <si>
    <t>ul. Piękna</t>
  </si>
  <si>
    <t>ul. Ogrodowa</t>
  </si>
  <si>
    <t>ul. Miodowa</t>
  </si>
  <si>
    <t>Budowa ulic na os. Powstańców Wielkopolskich, w tym:</t>
  </si>
  <si>
    <t>ul. Mariana Piekarskiego</t>
  </si>
  <si>
    <t>Budowa ulic na os. Staszica, w tym:</t>
  </si>
  <si>
    <t>Budowa ul. na os Piastowskie II, w tym:</t>
  </si>
  <si>
    <t>j)</t>
  </si>
  <si>
    <t>Budowa ulic 7KD i 8KD przy ulicy Sikorskiego, w tym:</t>
  </si>
  <si>
    <t>ul. 7KD</t>
  </si>
  <si>
    <t>ul. Władysława Łokietka (430 m) wraz z sięgaczami (218 m). Łączna dł. 648 m.</t>
  </si>
  <si>
    <t>Budowa ulic na os. Hańcza- etap II, w tym:</t>
  </si>
  <si>
    <t>Budowa ulic na os. Hańcza- etap IV, w tym:</t>
  </si>
  <si>
    <t>Budowa ulicy Legionów</t>
  </si>
  <si>
    <t>Budowa ul. 11 Listopada</t>
  </si>
  <si>
    <t>2017-2018</t>
  </si>
  <si>
    <t>-</t>
  </si>
  <si>
    <t>sięgacz ul. Lubelskiej</t>
  </si>
  <si>
    <t>Budowa drogi, chodników i parkingu przy ulicy Andersa w sąsiedztwie placu zabaw i siłowni zewnętrznej.</t>
  </si>
  <si>
    <t>Budowa drogi dojazdowej od ul. Noniewicza z parkingami i infrastrukturą w kwartale pomiędzy ulicami: Kościuszki, Wigierska, Noniewicza, rz. Czarna Hańcza.</t>
  </si>
  <si>
    <t>Wykonano w 2014 r.</t>
  </si>
  <si>
    <t>Stopień przygotowania do realizacji</t>
  </si>
  <si>
    <t>II etap (odcinek od ul. Nowomiejskiej do ul. Kolejowej)</t>
  </si>
  <si>
    <t>Przebudowa ulicy Świerkowej (odcinek od ul. Pułaskiego do ul. Kolejowej), w tym:</t>
  </si>
  <si>
    <t>2018-2019</t>
  </si>
  <si>
    <t>ul. Zastawie</t>
  </si>
  <si>
    <t>Budowa ulic zlokalizowanych w rejonie  ulicy Zastawie, w tym:</t>
  </si>
  <si>
    <t>Rozbudowa ulic Kolejowej i Północnej</t>
  </si>
  <si>
    <t xml:space="preserve">Dokumentacja projektowa opracowana w sierpniu 2015 r. W dniu 22.01.2016 r. zostało wydane zezwolenie na realizację inwestycji drogowej. </t>
  </si>
  <si>
    <t>Przebudowa ulicy Wileńskiej i Kowieńskiej</t>
  </si>
  <si>
    <t>ul. Powstańców Śląskich (chodniki)</t>
  </si>
  <si>
    <t>Dokumentacja projektowa opracowana na zgłoszenie robót budowlanych niewymagających pozwolenia na budowę.</t>
  </si>
  <si>
    <t>III etap (odcinek od ul. Ogińskiego do końca zakresu) długość 466 m.</t>
  </si>
  <si>
    <t>II etap (odcinek od budynku nr 6 przy ul. Młynarskiego do ul. Ogińskiego) długość 250 m.</t>
  </si>
  <si>
    <t>Opracowana dokumentacja projektowa. Wydana decyzja nr 182/2012 z 31.08.2012 r. Pozwolenie ważne do listopada 2017 r. Roboty zakończono 31.08.2016 r.</t>
  </si>
  <si>
    <t>2014-2017</t>
  </si>
  <si>
    <t>ul. Kawaleryjska (dawna ul. XXX- Lecia PRL) chodniki</t>
  </si>
  <si>
    <t>Ogółem :</t>
  </si>
  <si>
    <t>ul. 41 Pułku Piechoty (165,6 m) oraz sięgacz (32,1m). Łączna długość 197,7m</t>
  </si>
  <si>
    <t xml:space="preserve">Roboty zakończone w dniu 31.08.2016 r. </t>
  </si>
  <si>
    <t xml:space="preserve">ul. Legnicka </t>
  </si>
  <si>
    <t>ul. Wrocławska i Iławska</t>
  </si>
  <si>
    <t>I etap - od pętli autobusowej o długości około 900 m</t>
  </si>
  <si>
    <t>Budowa drogi dojazdowej przy ul. Bakałarzewskiej w Suwałkach</t>
  </si>
  <si>
    <t>Modernizacja ul. Klonowej na odcinku od bloku nr 43 do Zespołu Szkół nr 9</t>
  </si>
  <si>
    <t>Plus środki finansowe PWiK w 2016 roku wynoszą 245.446,75 zł. Zakończono w dniu 30.08.2016 r.</t>
  </si>
  <si>
    <t>Dokumentacja projektowa opracowana we wrześniu 2014 roku. Realizacja na podstawie pozwolenia na budowę z 08.10.2015 r. (decyzja nr 216/2015, znak: AGP.6740. 216.2015.EW).</t>
  </si>
  <si>
    <t>Plus środki finansowe PWiK za kanalizację deszczową, wodociąg i kanalizację sanitarną w kwocie 227.393,56 zł. Zadanie zakończone w dniu 03.07.2017 r.</t>
  </si>
  <si>
    <t>Plus środki PWiK w kwocie 419.643,91 zł oraz środki SSM w kwocie 523.912,72 zł w 2015 r. I Etap zakończono w dniu 02.06.2015 r.</t>
  </si>
  <si>
    <t xml:space="preserve">Plus środki finansowe PWiK w kwocie 115.868,61 zł i środki finansowe SSM w kwocie 566.521,21 zł. Zakończenie III etapu nastąpiło 15.08.2017 r.
</t>
  </si>
  <si>
    <t>W tym środki finansowe w kwocie 1.592.016 zł w ramach „Programu Rozwoju Gminnej i Powiatowej Infrastruktury Drogowej Na Lata 2016-2019" w wysokości 50 % wydatków kwalifikowalnych, w partnerstwie z Gminą Suwałki. Plus środki fin. PWiK 95.929,78 zł. Roboty zakończono 31.10.2016 r.</t>
  </si>
  <si>
    <t xml:space="preserve">Plus środki fin. PWiK w kwocie 349.950,01 zł w 2015r i w kwocie 197.054,27 zł w 2016r. Roboty zakończone w dniu 30.06.2016r. Zakończenie II etapu nastąpiło 28.09.2018r. (odcinek ul. Zastawie długości 453,4 m). </t>
  </si>
  <si>
    <t>Plus środki finansowe PWiK w 2016 roku wynoszą 647.881,77 zł. Zadanie zakończone w 2017 roku (etap I).</t>
  </si>
  <si>
    <t>chodniki w ul. Jagiełły od ul. Mieszka I do ul. Filipowskiej</t>
  </si>
  <si>
    <t>Budowa ul. na os. Hańcza-etap V,w tym:</t>
  </si>
  <si>
    <t>Przebudowa ulicy E. Młynarskiego, w tym:</t>
  </si>
  <si>
    <t>Budowa sięgacza ul. K. O. Falka</t>
  </si>
  <si>
    <t>Przebudowa ulicy S. Staniszewskiego na odcinku od skrzyżowania z drogą do Sobolewa do granic administracyjnych miasta</t>
  </si>
  <si>
    <t xml:space="preserve">Zakończenie zadania nastąpiło w dniu 02.07.2018 roku. 
 </t>
  </si>
  <si>
    <t>ul. Kazimierza Wielkiego (220 m) wraz z sięgaczami (75 m) oraz ul. W. Jagiełły po zachodniej stronie ul. Mieszka I (115 m)</t>
  </si>
  <si>
    <t>W tym kwota 6161,06 zł za wodociąg, 203.752,26 zł za kanalizację deszczową, 1.079,21 zł za odgałęzienie kanalizacji sanitarnej. Roboty w ramach I etapu zakończono 10.08.2018r.</t>
  </si>
  <si>
    <t xml:space="preserve"> Plus środki finansowe PWiK za kanalizację deszczową, wodociąg i kanalizację sanitarną w kwocie 838.629,53 zł. Zakończenie zadania nastąpiło 26.10.2018 r.</t>
  </si>
  <si>
    <t xml:space="preserve"> W tym środki Suwalskiej Spółdzielni Mieszkaniowej w kwocie 124.357,45 zł (w wysokości 30 % kosztów budowy). Roboty zakończono w 2016 r.</t>
  </si>
  <si>
    <t>Budowa ul. Aleksandry Piłsudskiej</t>
  </si>
  <si>
    <t>Opracowana dokumentacja projektowa. Realizacja na podstawie pozwolenia na budowę. Firmy przekazały w darowiźnie teren pod budowę drogi. Zakończenie zadania nastąpiło w dniu 14.06.2017 r.</t>
  </si>
  <si>
    <t>W dniu 25.11.2016r. podpisano Porozumienie nr 48/2016 z inwestorem prywatnym o wspólnej realizacji inwestycji. Plus środki fin. PEC w kwocie 700.000 zł i środki PWiK 1.435.538,87 zł oraz środki pryw. inwestora 3.403.013,80 zł. Termin zakończenia 30.09.2019 r.</t>
  </si>
  <si>
    <t>2016-2018</t>
  </si>
  <si>
    <t>Zadanie zakończono w 2016 roku.</t>
  </si>
  <si>
    <t>2014-2018</t>
  </si>
  <si>
    <t>2018-2018</t>
  </si>
  <si>
    <t>Zadanie zakończono w 2018 roku.</t>
  </si>
  <si>
    <t>Fragment ul. 7KD zrealizowano w 2018 roku.</t>
  </si>
  <si>
    <t>18.</t>
  </si>
  <si>
    <t>W dniu 05.08.2015r. podpisano Porozumienie nr 1/08/2015 o wspólnej realizacji zadania. Środki Miasta Suwałki wyniosły 172.891,43 zł, środki "Apartamenty Arkadia Sp. z o.o" 94.472,44 zł i środki PWiK 125.733,08 zł. I etap zakończono w 2016 roku.</t>
  </si>
  <si>
    <t>Plus środki PWiK kwota 228.602,02 zł oraz środki firm zlokalizowanych przy tej drodze w wysokosci 150 tys. zł. Zadanie zakończone w dniu 29.05.2019 r.</t>
  </si>
  <si>
    <t>2015-2018</t>
  </si>
  <si>
    <t>Chodniki zrealizowano w 2017 roku.</t>
  </si>
  <si>
    <t>Opracowana dokumentacja. Realizacja zadania na podstawie decyzji ZRiD (nr 5/2018 z 06.07.2018 r., znak: AGP.6740. 204.2018.EŁ). Plus środki finansowe PWiK za kanalizację deszczową, wodociąg i kan. sanitarną w kwocie 2.181.689,50 zł. Termin zakończenia 18.10.2019 r.</t>
  </si>
  <si>
    <t>Roboty budowlane zakończone dnia 11.08.2017 r. Kwota 2.640.379,47 zł pozyskana w ramach „Programu rozwoju gminnej i powiatowej infrastruktury drogowej na lata 2016-2019”.</t>
  </si>
  <si>
    <t>Plus środki finansowe SSM w kwocie 252.657,31 zł w 2016 roku. Zakończenie II etapu nastąpiło 15.07.2016 r.</t>
  </si>
  <si>
    <t>Realizacja zadania na podstawie ZRID (Decyzja Nr 1/2014 z dnia 26.09.2014 r., znak: AGP.6740.249.2014.EW). Zakończenie inwestycji nastąpiło w sierpniu 2015 r.</t>
  </si>
  <si>
    <t>I etap (odcinek od ul.Nowomiejskiej i odcinek od budynku nr 1 do budynku nr 6 przy ul. Młynarskiego) długość 530m.</t>
  </si>
  <si>
    <t>Roboty zakończone w dniu 30.11.2018r.</t>
  </si>
  <si>
    <t>Podpisane Porozumienie 21/2015 dnia 27.05.2015 r. na ul. Legionów od ul.Daszyńskiego do zjazdu do szkoły. Łączna wartość 391.036,47 zł, w tym: środki fin. "Dom Ełcki Morusiewicz" w kwocie 246.655,73 zł, środki PWiK w kwocie 22.047,48 zł i środki Miasta Suwałki 122.333,27 zł. Roboty zakończono 31.07.2016 r.</t>
  </si>
  <si>
    <t>Plus środki finansowe PWiK w kwocie 461.703,60 zł. Zakończenie zadania nastąpiło 27.09.2017 r.</t>
  </si>
  <si>
    <t>Zadania zrealizowane w poszczególnych latach</t>
  </si>
  <si>
    <t>wrzesień 2019 r.</t>
  </si>
  <si>
    <t>Informacja o zrealizowanych zadaniach budowy nawierzchni ulic lokalnych w Suwałkach w latach 2014 - 2019.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</si>
</sst>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0" xfId="0" applyAlignment="1">
      <alignment wrapText="1"/>
    </xf>
    <xf numFmtId="0" fontId="23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0" fillId="0" borderId="8" xfId="0" applyBorder="1"/>
    <xf numFmtId="0" fontId="24" fillId="0" borderId="0" xfId="0" applyFont="1"/>
    <xf numFmtId="0" fontId="25" fillId="0" borderId="6" xfId="0" applyFont="1" applyBorder="1" applyAlignment="1">
      <alignment vertical="top" wrapText="1"/>
    </xf>
    <xf numFmtId="164" fontId="23" fillId="0" borderId="19" xfId="0" applyNumberFormat="1" applyFont="1" applyBorder="1" applyAlignment="1">
      <alignment wrapText="1"/>
    </xf>
    <xf numFmtId="0" fontId="0" fillId="0" borderId="0" xfId="0" applyBorder="1"/>
    <xf numFmtId="0" fontId="22" fillId="3" borderId="9" xfId="0" applyFont="1" applyFill="1" applyBorder="1" applyAlignment="1">
      <alignment vertical="top" wrapText="1"/>
    </xf>
    <xf numFmtId="164" fontId="22" fillId="3" borderId="9" xfId="0" applyNumberFormat="1" applyFont="1" applyFill="1" applyBorder="1" applyAlignment="1">
      <alignment horizontal="right" vertical="top" wrapText="1"/>
    </xf>
    <xf numFmtId="0" fontId="22" fillId="0" borderId="1" xfId="0" applyFont="1" applyBorder="1" applyAlignment="1">
      <alignment horizontal="right" vertical="top" wrapText="1"/>
    </xf>
    <xf numFmtId="0" fontId="22" fillId="0" borderId="3" xfId="0" applyFont="1" applyBorder="1" applyAlignment="1">
      <alignment vertical="top" wrapText="1"/>
    </xf>
    <xf numFmtId="164" fontId="22" fillId="0" borderId="6" xfId="0" applyNumberFormat="1" applyFont="1" applyBorder="1" applyAlignment="1">
      <alignment horizontal="right" vertical="top" wrapText="1"/>
    </xf>
    <xf numFmtId="164" fontId="22" fillId="0" borderId="1" xfId="0" applyNumberFormat="1" applyFont="1" applyBorder="1" applyAlignment="1">
      <alignment horizontal="right" vertical="top" wrapText="1"/>
    </xf>
    <xf numFmtId="164" fontId="22" fillId="0" borderId="3" xfId="0" applyNumberFormat="1" applyFont="1" applyBorder="1" applyAlignment="1">
      <alignment horizontal="right" vertical="top" wrapText="1"/>
    </xf>
    <xf numFmtId="0" fontId="22" fillId="0" borderId="1" xfId="0" applyFont="1" applyBorder="1" applyAlignment="1">
      <alignment vertical="top" wrapText="1"/>
    </xf>
    <xf numFmtId="0" fontId="22" fillId="3" borderId="1" xfId="0" applyFont="1" applyFill="1" applyBorder="1" applyAlignment="1">
      <alignment vertical="top" wrapText="1"/>
    </xf>
    <xf numFmtId="164" fontId="22" fillId="3" borderId="1" xfId="0" applyNumberFormat="1" applyFont="1" applyFill="1" applyBorder="1" applyAlignment="1">
      <alignment horizontal="right" vertical="top" wrapText="1"/>
    </xf>
    <xf numFmtId="4" fontId="22" fillId="0" borderId="3" xfId="0" applyNumberFormat="1" applyFont="1" applyBorder="1" applyAlignment="1">
      <alignment vertical="top" wrapText="1"/>
    </xf>
    <xf numFmtId="164" fontId="22" fillId="0" borderId="11" xfId="0" applyNumberFormat="1" applyFont="1" applyBorder="1" applyAlignment="1">
      <alignment horizontal="right" vertical="top" wrapText="1"/>
    </xf>
    <xf numFmtId="0" fontId="22" fillId="3" borderId="20" xfId="0" applyFont="1" applyFill="1" applyBorder="1" applyAlignment="1">
      <alignment horizontal="center" vertical="top" wrapText="1"/>
    </xf>
    <xf numFmtId="164" fontId="22" fillId="3" borderId="6" xfId="0" applyNumberFormat="1" applyFont="1" applyFill="1" applyBorder="1" applyAlignment="1">
      <alignment horizontal="right" vertical="top" wrapText="1"/>
    </xf>
    <xf numFmtId="2" fontId="22" fillId="3" borderId="1" xfId="0" applyNumberFormat="1" applyFont="1" applyFill="1" applyBorder="1" applyAlignment="1">
      <alignment vertical="top" wrapText="1"/>
    </xf>
    <xf numFmtId="0" fontId="22" fillId="3" borderId="16" xfId="0" applyFont="1" applyFill="1" applyBorder="1" applyAlignment="1">
      <alignment horizontal="center" vertical="top" wrapText="1"/>
    </xf>
    <xf numFmtId="164" fontId="22" fillId="3" borderId="2" xfId="0" applyNumberFormat="1" applyFont="1" applyFill="1" applyBorder="1" applyAlignment="1">
      <alignment horizontal="right" vertical="top" wrapText="1"/>
    </xf>
    <xf numFmtId="2" fontId="22" fillId="0" borderId="1" xfId="0" applyNumberFormat="1" applyFont="1" applyBorder="1" applyAlignment="1">
      <alignment vertical="top" wrapText="1"/>
    </xf>
    <xf numFmtId="0" fontId="22" fillId="0" borderId="20" xfId="0" applyFont="1" applyBorder="1" applyAlignment="1">
      <alignment horizontal="center" vertical="top" wrapText="1"/>
    </xf>
    <xf numFmtId="164" fontId="22" fillId="0" borderId="16" xfId="0" applyNumberFormat="1" applyFont="1" applyBorder="1" applyAlignment="1">
      <alignment horizontal="right" vertical="top" wrapText="1"/>
    </xf>
    <xf numFmtId="0" fontId="22" fillId="0" borderId="2" xfId="0" applyFont="1" applyBorder="1" applyAlignment="1">
      <alignment vertical="top" wrapText="1"/>
    </xf>
    <xf numFmtId="1" fontId="22" fillId="0" borderId="21" xfId="0" applyNumberFormat="1" applyFont="1" applyBorder="1" applyAlignment="1">
      <alignment horizontal="center" vertical="top" wrapText="1"/>
    </xf>
    <xf numFmtId="164" fontId="22" fillId="0" borderId="4" xfId="0" applyNumberFormat="1" applyFont="1" applyBorder="1" applyAlignment="1">
      <alignment horizontal="right" vertical="top" wrapText="1"/>
    </xf>
    <xf numFmtId="2" fontId="22" fillId="0" borderId="2" xfId="0" applyNumberFormat="1" applyFont="1" applyBorder="1" applyAlignment="1">
      <alignment vertical="top" wrapText="1"/>
    </xf>
    <xf numFmtId="0" fontId="22" fillId="0" borderId="21" xfId="0" applyFont="1" applyBorder="1" applyAlignment="1">
      <alignment horizontal="center" vertical="top" wrapText="1"/>
    </xf>
    <xf numFmtId="164" fontId="22" fillId="0" borderId="2" xfId="0" applyNumberFormat="1" applyFont="1" applyBorder="1" applyAlignment="1">
      <alignment horizontal="right" vertical="top" wrapText="1"/>
    </xf>
    <xf numFmtId="3" fontId="22" fillId="2" borderId="1" xfId="0" applyNumberFormat="1" applyFont="1" applyFill="1" applyBorder="1" applyAlignment="1">
      <alignment vertical="top" wrapText="1"/>
    </xf>
    <xf numFmtId="0" fontId="22" fillId="3" borderId="2" xfId="0" applyFont="1" applyFill="1" applyBorder="1" applyAlignment="1">
      <alignment vertical="top" wrapText="1"/>
    </xf>
    <xf numFmtId="2" fontId="22" fillId="3" borderId="2" xfId="0" applyNumberFormat="1" applyFont="1" applyFill="1" applyBorder="1" applyAlignment="1">
      <alignment vertical="top" wrapText="1"/>
    </xf>
    <xf numFmtId="164" fontId="22" fillId="3" borderId="10" xfId="0" applyNumberFormat="1" applyFont="1" applyFill="1" applyBorder="1" applyAlignment="1">
      <alignment horizontal="right" vertical="top" wrapText="1"/>
    </xf>
    <xf numFmtId="164" fontId="22" fillId="0" borderId="10" xfId="0" applyNumberFormat="1" applyFont="1" applyBorder="1" applyAlignment="1">
      <alignment horizontal="right" vertical="top" wrapText="1"/>
    </xf>
    <xf numFmtId="164" fontId="22" fillId="0" borderId="25" xfId="0" applyNumberFormat="1" applyFont="1" applyBorder="1" applyAlignment="1">
      <alignment horizontal="right" vertical="top" wrapText="1"/>
    </xf>
    <xf numFmtId="0" fontId="23" fillId="0" borderId="0" xfId="0" applyFont="1" applyAlignment="1">
      <alignment horizontal="center"/>
    </xf>
    <xf numFmtId="0" fontId="23" fillId="0" borderId="29" xfId="0" applyFont="1" applyBorder="1" applyAlignment="1">
      <alignment horizontal="center" vertical="center" wrapText="1"/>
    </xf>
    <xf numFmtId="164" fontId="22" fillId="3" borderId="15" xfId="0" applyNumberFormat="1" applyFont="1" applyFill="1" applyBorder="1" applyAlignment="1">
      <alignment horizontal="right" vertical="top" wrapText="1"/>
    </xf>
    <xf numFmtId="164" fontId="22" fillId="3" borderId="30" xfId="0" applyNumberFormat="1" applyFont="1" applyFill="1" applyBorder="1" applyAlignment="1">
      <alignment horizontal="right" vertical="top" wrapText="1"/>
    </xf>
    <xf numFmtId="164" fontId="22" fillId="0" borderId="31" xfId="0" applyNumberFormat="1" applyFont="1" applyBorder="1" applyAlignment="1">
      <alignment horizontal="right" vertical="top" wrapText="1"/>
    </xf>
    <xf numFmtId="164" fontId="22" fillId="0" borderId="32" xfId="0" applyNumberFormat="1" applyFont="1" applyBorder="1" applyAlignment="1">
      <alignment horizontal="right" vertical="top" wrapText="1"/>
    </xf>
    <xf numFmtId="164" fontId="22" fillId="0" borderId="33" xfId="0" applyNumberFormat="1" applyFont="1" applyBorder="1" applyAlignment="1">
      <alignment horizontal="right" vertical="top" wrapText="1"/>
    </xf>
    <xf numFmtId="164" fontId="22" fillId="3" borderId="32" xfId="0" applyNumberFormat="1" applyFont="1" applyFill="1" applyBorder="1" applyAlignment="1">
      <alignment horizontal="right" vertical="top" wrapText="1"/>
    </xf>
    <xf numFmtId="164" fontId="22" fillId="0" borderId="34" xfId="0" applyNumberFormat="1" applyFont="1" applyBorder="1" applyAlignment="1">
      <alignment horizontal="right" vertical="top" wrapText="1"/>
    </xf>
    <xf numFmtId="164" fontId="22" fillId="3" borderId="34" xfId="0" applyNumberFormat="1" applyFont="1" applyFill="1" applyBorder="1" applyAlignment="1">
      <alignment horizontal="right" vertical="top" wrapText="1"/>
    </xf>
    <xf numFmtId="164" fontId="22" fillId="3" borderId="23" xfId="0" applyNumberFormat="1" applyFont="1" applyFill="1" applyBorder="1" applyAlignment="1">
      <alignment horizontal="right" vertical="top" wrapText="1"/>
    </xf>
    <xf numFmtId="164" fontId="22" fillId="2" borderId="32" xfId="0" applyNumberFormat="1" applyFont="1" applyFill="1" applyBorder="1" applyAlignment="1">
      <alignment horizontal="right" vertical="top" wrapText="1"/>
    </xf>
    <xf numFmtId="164" fontId="22" fillId="2" borderId="1" xfId="0" applyNumberFormat="1" applyFont="1" applyFill="1" applyBorder="1" applyAlignment="1">
      <alignment horizontal="right" vertical="top" wrapText="1"/>
    </xf>
    <xf numFmtId="2" fontId="22" fillId="2" borderId="1" xfId="0" applyNumberFormat="1" applyFont="1" applyFill="1" applyBorder="1" applyAlignment="1">
      <alignment vertical="top" wrapText="1"/>
    </xf>
    <xf numFmtId="0" fontId="22" fillId="2" borderId="16" xfId="0" applyFont="1" applyFill="1" applyBorder="1" applyAlignment="1">
      <alignment horizontal="center" vertical="top" wrapText="1"/>
    </xf>
    <xf numFmtId="0" fontId="27" fillId="3" borderId="1" xfId="0" applyFont="1" applyFill="1" applyBorder="1" applyAlignment="1">
      <alignment vertical="top" wrapText="1"/>
    </xf>
    <xf numFmtId="0" fontId="21" fillId="2" borderId="1" xfId="0" applyFont="1" applyFill="1" applyBorder="1" applyAlignment="1">
      <alignment vertical="top" wrapText="1"/>
    </xf>
    <xf numFmtId="164" fontId="22" fillId="2" borderId="6" xfId="0" applyNumberFormat="1" applyFont="1" applyFill="1" applyBorder="1" applyAlignment="1">
      <alignment horizontal="right" vertical="top" wrapText="1"/>
    </xf>
    <xf numFmtId="0" fontId="21" fillId="0" borderId="16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164" fontId="22" fillId="0" borderId="1" xfId="0" applyNumberFormat="1" applyFont="1" applyFill="1" applyBorder="1" applyAlignment="1">
      <alignment horizontal="right" vertical="top" wrapText="1"/>
    </xf>
    <xf numFmtId="164" fontId="22" fillId="0" borderId="23" xfId="0" applyNumberFormat="1" applyFont="1" applyBorder="1" applyAlignment="1">
      <alignment horizontal="right" vertical="top" wrapText="1"/>
    </xf>
    <xf numFmtId="164" fontId="22" fillId="0" borderId="35" xfId="0" applyNumberFormat="1" applyFont="1" applyBorder="1" applyAlignment="1">
      <alignment horizontal="right" vertical="top" wrapText="1"/>
    </xf>
    <xf numFmtId="0" fontId="19" fillId="0" borderId="1" xfId="0" applyFont="1" applyBorder="1" applyAlignment="1">
      <alignment horizontal="right" vertical="top" wrapText="1"/>
    </xf>
    <xf numFmtId="0" fontId="19" fillId="0" borderId="1" xfId="0" applyFont="1" applyFill="1" applyBorder="1" applyAlignment="1">
      <alignment horizontal="right" vertical="top" wrapText="1"/>
    </xf>
    <xf numFmtId="164" fontId="22" fillId="0" borderId="32" xfId="0" applyNumberFormat="1" applyFont="1" applyFill="1" applyBorder="1" applyAlignment="1">
      <alignment horizontal="right" vertical="top" wrapText="1"/>
    </xf>
    <xf numFmtId="164" fontId="22" fillId="0" borderId="6" xfId="0" applyNumberFormat="1" applyFont="1" applyFill="1" applyBorder="1" applyAlignment="1">
      <alignment horizontal="right" vertical="top" wrapText="1"/>
    </xf>
    <xf numFmtId="0" fontId="19" fillId="0" borderId="20" xfId="0" applyFont="1" applyBorder="1" applyAlignment="1">
      <alignment horizontal="center" vertical="top" wrapText="1"/>
    </xf>
    <xf numFmtId="0" fontId="0" fillId="0" borderId="11" xfId="0" applyBorder="1" applyAlignment="1">
      <alignment horizontal="left" vertical="top" wrapText="1"/>
    </xf>
    <xf numFmtId="0" fontId="18" fillId="0" borderId="22" xfId="0" applyFont="1" applyBorder="1" applyAlignment="1">
      <alignment horizontal="center" vertical="top" wrapText="1"/>
    </xf>
    <xf numFmtId="0" fontId="18" fillId="3" borderId="16" xfId="0" applyFont="1" applyFill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center" vertical="top" wrapText="1"/>
    </xf>
    <xf numFmtId="164" fontId="22" fillId="0" borderId="21" xfId="0" applyNumberFormat="1" applyFont="1" applyBorder="1" applyAlignment="1">
      <alignment horizontal="right" vertical="top" wrapText="1"/>
    </xf>
    <xf numFmtId="164" fontId="22" fillId="0" borderId="20" xfId="0" applyNumberFormat="1" applyFont="1" applyBorder="1" applyAlignment="1">
      <alignment horizontal="right" vertical="top" wrapText="1"/>
    </xf>
    <xf numFmtId="3" fontId="22" fillId="3" borderId="9" xfId="0" applyNumberFormat="1" applyFont="1" applyFill="1" applyBorder="1" applyAlignment="1">
      <alignment vertical="top" wrapText="1"/>
    </xf>
    <xf numFmtId="3" fontId="22" fillId="3" borderId="2" xfId="0" applyNumberFormat="1" applyFont="1" applyFill="1" applyBorder="1" applyAlignment="1">
      <alignment vertical="top" wrapText="1"/>
    </xf>
    <xf numFmtId="3" fontId="22" fillId="3" borderId="1" xfId="0" applyNumberFormat="1" applyFont="1" applyFill="1" applyBorder="1" applyAlignment="1">
      <alignment vertical="top" wrapText="1"/>
    </xf>
    <xf numFmtId="3" fontId="22" fillId="3" borderId="24" xfId="0" applyNumberFormat="1" applyFont="1" applyFill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17" fillId="3" borderId="16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right" vertical="top" wrapText="1"/>
    </xf>
    <xf numFmtId="2" fontId="22" fillId="3" borderId="25" xfId="0" applyNumberFormat="1" applyFont="1" applyFill="1" applyBorder="1" applyAlignment="1">
      <alignment vertical="top" wrapText="1"/>
    </xf>
    <xf numFmtId="164" fontId="16" fillId="2" borderId="1" xfId="0" applyNumberFormat="1" applyFont="1" applyFill="1" applyBorder="1" applyAlignment="1">
      <alignment horizontal="right" vertical="top" wrapText="1"/>
    </xf>
    <xf numFmtId="164" fontId="27" fillId="2" borderId="2" xfId="0" applyNumberFormat="1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right" vertical="top" wrapText="1"/>
    </xf>
    <xf numFmtId="0" fontId="15" fillId="3" borderId="1" xfId="0" applyFont="1" applyFill="1" applyBorder="1" applyAlignment="1">
      <alignment vertical="top" wrapText="1"/>
    </xf>
    <xf numFmtId="0" fontId="0" fillId="0" borderId="10" xfId="0" applyBorder="1" applyAlignment="1">
      <alignment horizontal="left" vertical="top" wrapText="1"/>
    </xf>
    <xf numFmtId="164" fontId="27" fillId="0" borderId="1" xfId="0" applyNumberFormat="1" applyFont="1" applyFill="1" applyBorder="1" applyAlignment="1">
      <alignment horizontal="right" vertical="top" wrapText="1"/>
    </xf>
    <xf numFmtId="164" fontId="22" fillId="0" borderId="5" xfId="0" applyNumberFormat="1" applyFont="1" applyBorder="1" applyAlignment="1">
      <alignment horizontal="right" vertical="top" wrapText="1"/>
    </xf>
    <xf numFmtId="164" fontId="22" fillId="3" borderId="5" xfId="0" applyNumberFormat="1" applyFont="1" applyFill="1" applyBorder="1" applyAlignment="1">
      <alignment horizontal="right" vertical="top" wrapText="1"/>
    </xf>
    <xf numFmtId="164" fontId="22" fillId="3" borderId="20" xfId="0" applyNumberFormat="1" applyFont="1" applyFill="1" applyBorder="1" applyAlignment="1">
      <alignment horizontal="right" vertical="top" wrapText="1"/>
    </xf>
    <xf numFmtId="0" fontId="27" fillId="0" borderId="1" xfId="0" applyFont="1" applyBorder="1" applyAlignment="1">
      <alignment vertical="top" wrapText="1"/>
    </xf>
    <xf numFmtId="0" fontId="14" fillId="3" borderId="16" xfId="0" applyFont="1" applyFill="1" applyBorder="1" applyAlignment="1">
      <alignment horizontal="center" vertical="top" wrapText="1"/>
    </xf>
    <xf numFmtId="49" fontId="27" fillId="0" borderId="3" xfId="0" applyNumberFormat="1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164" fontId="27" fillId="3" borderId="1" xfId="0" applyNumberFormat="1" applyFont="1" applyFill="1" applyBorder="1" applyAlignment="1">
      <alignment horizontal="right" vertical="top" wrapText="1"/>
    </xf>
    <xf numFmtId="164" fontId="27" fillId="0" borderId="1" xfId="0" applyNumberFormat="1" applyFont="1" applyBorder="1" applyAlignment="1">
      <alignment horizontal="right" vertical="top" wrapText="1"/>
    </xf>
    <xf numFmtId="164" fontId="27" fillId="0" borderId="3" xfId="0" applyNumberFormat="1" applyFont="1" applyFill="1" applyBorder="1" applyAlignment="1">
      <alignment horizontal="right" vertical="top" wrapText="1"/>
    </xf>
    <xf numFmtId="164" fontId="27" fillId="0" borderId="11" xfId="0" applyNumberFormat="1" applyFont="1" applyFill="1" applyBorder="1" applyAlignment="1">
      <alignment horizontal="right" vertical="top" wrapText="1"/>
    </xf>
    <xf numFmtId="0" fontId="27" fillId="3" borderId="2" xfId="0" applyFont="1" applyFill="1" applyBorder="1" applyAlignment="1">
      <alignment vertical="top" wrapText="1"/>
    </xf>
    <xf numFmtId="164" fontId="27" fillId="0" borderId="3" xfId="0" applyNumberFormat="1" applyFont="1" applyBorder="1" applyAlignment="1">
      <alignment horizontal="right" vertical="top" wrapText="1"/>
    </xf>
    <xf numFmtId="0" fontId="25" fillId="0" borderId="10" xfId="0" applyFont="1" applyBorder="1" applyAlignment="1">
      <alignment horizontal="left" vertical="top" wrapText="1"/>
    </xf>
    <xf numFmtId="0" fontId="27" fillId="0" borderId="2" xfId="0" applyFont="1" applyBorder="1" applyAlignment="1">
      <alignment vertical="top" wrapText="1"/>
    </xf>
    <xf numFmtId="0" fontId="23" fillId="0" borderId="0" xfId="0" applyFont="1" applyAlignment="1">
      <alignment horizontal="center"/>
    </xf>
    <xf numFmtId="164" fontId="27" fillId="2" borderId="1" xfId="0" applyNumberFormat="1" applyFont="1" applyFill="1" applyBorder="1" applyAlignment="1">
      <alignment horizontal="right" vertical="top" wrapText="1"/>
    </xf>
    <xf numFmtId="4" fontId="22" fillId="3" borderId="1" xfId="0" applyNumberFormat="1" applyFont="1" applyFill="1" applyBorder="1" applyAlignment="1">
      <alignment vertical="top" wrapText="1"/>
    </xf>
    <xf numFmtId="49" fontId="12" fillId="0" borderId="3" xfId="0" applyNumberFormat="1" applyFont="1" applyBorder="1" applyAlignment="1">
      <alignment vertical="top" wrapText="1"/>
    </xf>
    <xf numFmtId="0" fontId="11" fillId="0" borderId="16" xfId="0" applyFont="1" applyBorder="1" applyAlignment="1">
      <alignment horizontal="center" vertical="top" wrapText="1"/>
    </xf>
    <xf numFmtId="0" fontId="11" fillId="3" borderId="16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3" borderId="16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top" wrapText="1"/>
    </xf>
    <xf numFmtId="0" fontId="10" fillId="0" borderId="20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vertical="top" wrapText="1"/>
    </xf>
    <xf numFmtId="2" fontId="22" fillId="0" borderId="1" xfId="0" applyNumberFormat="1" applyFont="1" applyFill="1" applyBorder="1" applyAlignment="1">
      <alignment vertical="top" wrapText="1"/>
    </xf>
    <xf numFmtId="164" fontId="28" fillId="0" borderId="1" xfId="0" applyNumberFormat="1" applyFont="1" applyFill="1" applyBorder="1" applyAlignment="1">
      <alignment horizontal="right" vertical="top" wrapText="1"/>
    </xf>
    <xf numFmtId="0" fontId="8" fillId="0" borderId="1" xfId="0" applyFont="1" applyBorder="1" applyAlignment="1">
      <alignment vertical="top" wrapText="1"/>
    </xf>
    <xf numFmtId="0" fontId="7" fillId="3" borderId="16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23" fillId="0" borderId="10" xfId="0" applyFont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top" wrapText="1"/>
    </xf>
    <xf numFmtId="0" fontId="5" fillId="3" borderId="2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20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0" fillId="0" borderId="10" xfId="0" applyBorder="1" applyAlignment="1">
      <alignment horizontal="left" vertical="top" wrapText="1"/>
    </xf>
    <xf numFmtId="0" fontId="18" fillId="0" borderId="25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left" vertical="top" wrapText="1"/>
    </xf>
    <xf numFmtId="0" fontId="25" fillId="0" borderId="6" xfId="0" applyFont="1" applyFill="1" applyBorder="1" applyAlignment="1">
      <alignment horizontal="left" vertical="top" wrapText="1"/>
    </xf>
    <xf numFmtId="0" fontId="18" fillId="0" borderId="16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14" xfId="0" applyFont="1" applyFill="1" applyBorder="1" applyAlignment="1">
      <alignment horizontal="left" vertical="top" wrapText="1"/>
    </xf>
    <xf numFmtId="164" fontId="23" fillId="0" borderId="38" xfId="0" applyNumberFormat="1" applyFont="1" applyBorder="1" applyAlignment="1">
      <alignment wrapText="1"/>
    </xf>
    <xf numFmtId="164" fontId="23" fillId="0" borderId="37" xfId="0" applyNumberFormat="1" applyFont="1" applyBorder="1" applyAlignment="1">
      <alignment wrapText="1"/>
    </xf>
    <xf numFmtId="0" fontId="1" fillId="3" borderId="17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25" fillId="0" borderId="31" xfId="0" applyFont="1" applyBorder="1" applyAlignment="1">
      <alignment vertical="top" wrapText="1"/>
    </xf>
    <xf numFmtId="0" fontId="25" fillId="0" borderId="11" xfId="0" applyFont="1" applyBorder="1" applyAlignment="1">
      <alignment horizontal="left" vertical="top" wrapText="1"/>
    </xf>
    <xf numFmtId="0" fontId="25" fillId="0" borderId="10" xfId="0" applyFont="1" applyBorder="1" applyAlignment="1">
      <alignment vertical="top" wrapText="1"/>
    </xf>
    <xf numFmtId="0" fontId="26" fillId="0" borderId="40" xfId="0" applyFont="1" applyBorder="1" applyAlignment="1">
      <alignment horizontal="center" vertical="top" wrapText="1"/>
    </xf>
    <xf numFmtId="164" fontId="22" fillId="3" borderId="28" xfId="0" applyNumberFormat="1" applyFont="1" applyFill="1" applyBorder="1" applyAlignment="1">
      <alignment horizontal="right" vertical="top" wrapText="1"/>
    </xf>
    <xf numFmtId="164" fontId="22" fillId="0" borderId="22" xfId="0" applyNumberFormat="1" applyFont="1" applyBorder="1" applyAlignment="1">
      <alignment horizontal="right" vertical="top" wrapText="1"/>
    </xf>
    <xf numFmtId="3" fontId="22" fillId="2" borderId="20" xfId="0" applyNumberFormat="1" applyFont="1" applyFill="1" applyBorder="1" applyAlignment="1">
      <alignment vertical="top" wrapText="1"/>
    </xf>
    <xf numFmtId="164" fontId="22" fillId="2" borderId="1" xfId="0" applyNumberFormat="1" applyFont="1" applyFill="1" applyBorder="1" applyAlignment="1">
      <alignment vertical="top" wrapText="1"/>
    </xf>
    <xf numFmtId="164" fontId="22" fillId="0" borderId="22" xfId="0" applyNumberFormat="1" applyFont="1" applyFill="1" applyBorder="1" applyAlignment="1">
      <alignment horizontal="right" vertical="top" wrapText="1"/>
    </xf>
    <xf numFmtId="164" fontId="22" fillId="0" borderId="20" xfId="0" applyNumberFormat="1" applyFont="1" applyFill="1" applyBorder="1" applyAlignment="1">
      <alignment horizontal="right" vertical="top" wrapText="1"/>
    </xf>
    <xf numFmtId="164" fontId="27" fillId="0" borderId="20" xfId="0" applyNumberFormat="1" applyFont="1" applyFill="1" applyBorder="1" applyAlignment="1">
      <alignment horizontal="right" vertical="top" wrapText="1"/>
    </xf>
    <xf numFmtId="164" fontId="22" fillId="3" borderId="21" xfId="0" applyNumberFormat="1" applyFont="1" applyFill="1" applyBorder="1" applyAlignment="1">
      <alignment horizontal="right" vertical="top" wrapText="1"/>
    </xf>
    <xf numFmtId="164" fontId="27" fillId="0" borderId="2" xfId="0" applyNumberFormat="1" applyFont="1" applyBorder="1" applyAlignment="1">
      <alignment horizontal="right" vertical="top" wrapText="1"/>
    </xf>
    <xf numFmtId="164" fontId="23" fillId="0" borderId="40" xfId="0" applyNumberFormat="1" applyFont="1" applyBorder="1" applyAlignment="1">
      <alignment wrapText="1"/>
    </xf>
    <xf numFmtId="164" fontId="23" fillId="0" borderId="41" xfId="0" applyNumberFormat="1" applyFont="1" applyBorder="1" applyAlignment="1">
      <alignment wrapText="1"/>
    </xf>
    <xf numFmtId="164" fontId="22" fillId="0" borderId="42" xfId="0" applyNumberFormat="1" applyFont="1" applyBorder="1" applyAlignment="1">
      <alignment horizontal="right" vertical="top" wrapText="1"/>
    </xf>
    <xf numFmtId="164" fontId="27" fillId="2" borderId="21" xfId="0" applyNumberFormat="1" applyFont="1" applyFill="1" applyBorder="1" applyAlignment="1">
      <alignment horizontal="right" vertical="top" wrapText="1"/>
    </xf>
    <xf numFmtId="164" fontId="22" fillId="2" borderId="20" xfId="0" applyNumberFormat="1" applyFont="1" applyFill="1" applyBorder="1" applyAlignment="1">
      <alignment horizontal="right" vertical="top" wrapText="1"/>
    </xf>
    <xf numFmtId="49" fontId="1" fillId="0" borderId="3" xfId="0" applyNumberFormat="1" applyFont="1" applyBorder="1" applyAlignment="1">
      <alignment vertical="top" wrapText="1"/>
    </xf>
    <xf numFmtId="0" fontId="25" fillId="0" borderId="10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right" wrapText="1"/>
    </xf>
    <xf numFmtId="0" fontId="23" fillId="0" borderId="18" xfId="0" applyFont="1" applyBorder="1" applyAlignment="1">
      <alignment horizontal="right" wrapText="1"/>
    </xf>
    <xf numFmtId="0" fontId="0" fillId="0" borderId="6" xfId="0" applyBorder="1" applyAlignment="1">
      <alignment horizontal="left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31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view="pageBreakPreview" zoomScale="115" zoomScaleNormal="115" zoomScaleSheetLayoutView="115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G70" sqref="G70"/>
    </sheetView>
  </sheetViews>
  <sheetFormatPr defaultRowHeight="15" x14ac:dyDescent="0.25"/>
  <cols>
    <col min="1" max="1" width="3.5703125" customWidth="1"/>
    <col min="2" max="2" width="45.7109375" customWidth="1"/>
    <col min="3" max="3" width="8.28515625" customWidth="1"/>
    <col min="4" max="4" width="13.7109375" customWidth="1"/>
    <col min="5" max="5" width="11.140625" customWidth="1"/>
    <col min="6" max="6" width="11.7109375" customWidth="1"/>
    <col min="7" max="7" width="11.28515625" customWidth="1"/>
    <col min="8" max="8" width="12.42578125" customWidth="1"/>
    <col min="9" max="10" width="12.5703125" customWidth="1"/>
    <col min="11" max="11" width="12.7109375" customWidth="1"/>
    <col min="12" max="12" width="54.28515625" customWidth="1"/>
    <col min="14" max="15" width="11.7109375" bestFit="1" customWidth="1"/>
  </cols>
  <sheetData>
    <row r="1" spans="1:14" x14ac:dyDescent="0.25">
      <c r="L1" s="107" t="s">
        <v>141</v>
      </c>
    </row>
    <row r="3" spans="1:14" x14ac:dyDescent="0.25">
      <c r="L3" s="41"/>
    </row>
    <row r="4" spans="1:14" x14ac:dyDescent="0.25">
      <c r="A4" s="194" t="s">
        <v>142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1:14" ht="15.75" thickBot="1" x14ac:dyDescent="0.3"/>
    <row r="6" spans="1:14" ht="29.25" customHeight="1" x14ac:dyDescent="0.25">
      <c r="A6" s="195" t="s">
        <v>0</v>
      </c>
      <c r="B6" s="192" t="s">
        <v>1</v>
      </c>
      <c r="C6" s="192" t="s">
        <v>4</v>
      </c>
      <c r="D6" s="195" t="s">
        <v>28</v>
      </c>
      <c r="E6" s="192" t="s">
        <v>2</v>
      </c>
      <c r="F6" s="192" t="s">
        <v>75</v>
      </c>
      <c r="G6" s="197" t="s">
        <v>140</v>
      </c>
      <c r="H6" s="198"/>
      <c r="I6" s="198"/>
      <c r="J6" s="198"/>
      <c r="K6" s="198"/>
      <c r="L6" s="192" t="s">
        <v>76</v>
      </c>
    </row>
    <row r="7" spans="1:14" ht="28.5" customHeight="1" thickBot="1" x14ac:dyDescent="0.3">
      <c r="A7" s="196"/>
      <c r="B7" s="193"/>
      <c r="C7" s="193"/>
      <c r="D7" s="196"/>
      <c r="E7" s="193"/>
      <c r="F7" s="193"/>
      <c r="G7" s="42">
        <v>2015</v>
      </c>
      <c r="H7" s="2">
        <v>2016</v>
      </c>
      <c r="I7" s="2">
        <v>2017</v>
      </c>
      <c r="J7" s="2">
        <v>2018</v>
      </c>
      <c r="K7" s="127">
        <v>2019</v>
      </c>
      <c r="L7" s="193"/>
    </row>
    <row r="8" spans="1:14" ht="15.75" customHeight="1" x14ac:dyDescent="0.25">
      <c r="A8" s="9" t="s">
        <v>3</v>
      </c>
      <c r="B8" s="125" t="s">
        <v>66</v>
      </c>
      <c r="C8" s="9">
        <f>SUM(C9:C17)</f>
        <v>2.16</v>
      </c>
      <c r="D8" s="77">
        <f>F8+G8+H8+I8+J8+K8</f>
        <v>4321000.0089999996</v>
      </c>
      <c r="E8" s="156" t="s">
        <v>5</v>
      </c>
      <c r="F8" s="43">
        <f t="shared" ref="F8:K8" si="0">F9+F10+F11+F12+F13+F14+F15+F16+F17</f>
        <v>1100000.0388000002</v>
      </c>
      <c r="G8" s="44">
        <f t="shared" si="0"/>
        <v>3220999.9701999999</v>
      </c>
      <c r="H8" s="10">
        <f t="shared" si="0"/>
        <v>0</v>
      </c>
      <c r="I8" s="10">
        <f t="shared" si="0"/>
        <v>0</v>
      </c>
      <c r="J8" s="10">
        <f t="shared" si="0"/>
        <v>0</v>
      </c>
      <c r="K8" s="163">
        <f t="shared" si="0"/>
        <v>0</v>
      </c>
      <c r="L8" s="191" t="s">
        <v>135</v>
      </c>
      <c r="N8" s="134">
        <f>SUM(N9:N17)</f>
        <v>393</v>
      </c>
    </row>
    <row r="9" spans="1:14" x14ac:dyDescent="0.25">
      <c r="A9" s="11" t="s">
        <v>38</v>
      </c>
      <c r="B9" s="12" t="s">
        <v>29</v>
      </c>
      <c r="C9" s="12">
        <v>0.27</v>
      </c>
      <c r="D9" s="78">
        <f>F9+G9+H9+I9+J9+K9</f>
        <v>526138.51469999994</v>
      </c>
      <c r="E9" s="59" t="s">
        <v>5</v>
      </c>
      <c r="F9" s="46">
        <f>(43955.5+86720.26+35611.25)*1.23</f>
        <v>204533.02230000001</v>
      </c>
      <c r="G9" s="13">
        <f>((337703.31+27682.61+25453.3+36915.67)*1.23)-F9</f>
        <v>321605.49239999993</v>
      </c>
      <c r="H9" s="15"/>
      <c r="I9" s="15"/>
      <c r="J9" s="15"/>
      <c r="K9" s="164"/>
      <c r="L9" s="189"/>
      <c r="N9">
        <v>42</v>
      </c>
    </row>
    <row r="10" spans="1:14" x14ac:dyDescent="0.25">
      <c r="A10" s="11" t="s">
        <v>39</v>
      </c>
      <c r="B10" s="12" t="s">
        <v>30</v>
      </c>
      <c r="C10" s="12">
        <v>0.45</v>
      </c>
      <c r="D10" s="78">
        <f t="shared" ref="D10:D17" si="1">F10+G10+H10+I10+J10+K10</f>
        <v>1123877.8263000001</v>
      </c>
      <c r="E10" s="59" t="s">
        <v>5</v>
      </c>
      <c r="F10" s="47">
        <f>(93432.97+43301.54)*1.23</f>
        <v>168183.4473</v>
      </c>
      <c r="G10" s="13">
        <f>((573069.89+139146.99+150423.95+51080.98)*1.23)-F10</f>
        <v>955694.37900000007</v>
      </c>
      <c r="H10" s="15"/>
      <c r="I10" s="15"/>
      <c r="J10" s="15"/>
      <c r="K10" s="164"/>
      <c r="L10" s="189"/>
      <c r="N10">
        <v>29</v>
      </c>
    </row>
    <row r="11" spans="1:14" x14ac:dyDescent="0.25">
      <c r="A11" s="11" t="s">
        <v>40</v>
      </c>
      <c r="B11" s="12" t="s">
        <v>31</v>
      </c>
      <c r="C11" s="12">
        <v>0.09</v>
      </c>
      <c r="D11" s="78">
        <f t="shared" si="1"/>
        <v>666054.28449999995</v>
      </c>
      <c r="E11" s="59" t="s">
        <v>5</v>
      </c>
      <c r="F11" s="47">
        <f>(15613.41+34278.96+25453.3)*1.23</f>
        <v>92675.174099999989</v>
      </c>
      <c r="G11" s="13">
        <f>((153840.15)*1.23)-F11+476830.9</f>
        <v>573379.11040000001</v>
      </c>
      <c r="H11" s="15"/>
      <c r="I11" s="15"/>
      <c r="J11" s="15"/>
      <c r="K11" s="164"/>
      <c r="L11" s="189"/>
      <c r="N11">
        <v>41</v>
      </c>
    </row>
    <row r="12" spans="1:14" x14ac:dyDescent="0.25">
      <c r="A12" s="11" t="s">
        <v>41</v>
      </c>
      <c r="B12" s="12" t="s">
        <v>32</v>
      </c>
      <c r="C12" s="12">
        <v>0.15</v>
      </c>
      <c r="D12" s="78">
        <f t="shared" si="1"/>
        <v>326382.86160000006</v>
      </c>
      <c r="E12" s="59" t="s">
        <v>5</v>
      </c>
      <c r="F12" s="47">
        <f>((171691.67+72019.82)*1.23)-257156.4</f>
        <v>42608.732700000022</v>
      </c>
      <c r="G12" s="13">
        <f>((193332.1+72019.82)*1.23)-F12</f>
        <v>283774.12890000001</v>
      </c>
      <c r="H12" s="15"/>
      <c r="I12" s="15"/>
      <c r="J12" s="15"/>
      <c r="K12" s="164"/>
      <c r="L12" s="189"/>
      <c r="N12">
        <v>9</v>
      </c>
    </row>
    <row r="13" spans="1:14" x14ac:dyDescent="0.25">
      <c r="A13" s="11" t="s">
        <v>42</v>
      </c>
      <c r="B13" s="12" t="s">
        <v>33</v>
      </c>
      <c r="C13" s="12">
        <v>0.12</v>
      </c>
      <c r="D13" s="78">
        <f t="shared" si="1"/>
        <v>383177.68109999999</v>
      </c>
      <c r="E13" s="59" t="s">
        <v>5</v>
      </c>
      <c r="F13" s="47">
        <v>200000</v>
      </c>
      <c r="G13" s="13">
        <f>((311526.57)*1.23)-F13</f>
        <v>183177.68109999999</v>
      </c>
      <c r="H13" s="15"/>
      <c r="I13" s="15"/>
      <c r="J13" s="14"/>
      <c r="K13" s="164"/>
      <c r="L13" s="189"/>
      <c r="N13">
        <v>32</v>
      </c>
    </row>
    <row r="14" spans="1:14" x14ac:dyDescent="0.25">
      <c r="A14" s="11" t="s">
        <v>44</v>
      </c>
      <c r="B14" s="12" t="s">
        <v>34</v>
      </c>
      <c r="C14" s="12">
        <v>0.09</v>
      </c>
      <c r="D14" s="78">
        <f t="shared" si="1"/>
        <v>182653.68389999997</v>
      </c>
      <c r="E14" s="59" t="s">
        <v>5</v>
      </c>
      <c r="F14" s="47">
        <f>(20258.8+524.6)*1.23</f>
        <v>25563.581999999999</v>
      </c>
      <c r="G14" s="13">
        <f>((148498.93)*1.23)-F14</f>
        <v>157090.10189999998</v>
      </c>
      <c r="H14" s="15"/>
      <c r="I14" s="15"/>
      <c r="J14" s="15"/>
      <c r="K14" s="164"/>
      <c r="L14" s="189"/>
      <c r="N14">
        <v>26</v>
      </c>
    </row>
    <row r="15" spans="1:14" x14ac:dyDescent="0.25">
      <c r="A15" s="11" t="s">
        <v>45</v>
      </c>
      <c r="B15" s="12" t="s">
        <v>35</v>
      </c>
      <c r="C15" s="12">
        <v>0.08</v>
      </c>
      <c r="D15" s="78">
        <f t="shared" si="1"/>
        <v>415051.37099999998</v>
      </c>
      <c r="E15" s="59" t="s">
        <v>5</v>
      </c>
      <c r="F15" s="47">
        <f>(28848.12+36941.85)*1.23</f>
        <v>80921.663100000005</v>
      </c>
      <c r="G15" s="13">
        <f>((93537.7)*1.23)-F15+300000</f>
        <v>334129.70789999998</v>
      </c>
      <c r="H15" s="15"/>
      <c r="I15" s="15"/>
      <c r="J15" s="15"/>
      <c r="K15" s="164"/>
      <c r="L15" s="189"/>
      <c r="N15">
        <v>37</v>
      </c>
    </row>
    <row r="16" spans="1:14" x14ac:dyDescent="0.25">
      <c r="A16" s="11" t="s">
        <v>46</v>
      </c>
      <c r="B16" s="12" t="s">
        <v>36</v>
      </c>
      <c r="C16" s="12">
        <v>0.12</v>
      </c>
      <c r="D16" s="78">
        <f t="shared" si="1"/>
        <v>235527.55860000002</v>
      </c>
      <c r="E16" s="59" t="s">
        <v>5</v>
      </c>
      <c r="F16" s="47">
        <f>(22554.06+6319.45)*1.23</f>
        <v>35514.417300000001</v>
      </c>
      <c r="G16" s="13">
        <f>((191485.82)*1.23)-F16</f>
        <v>200013.14130000002</v>
      </c>
      <c r="H16" s="15"/>
      <c r="I16" s="15"/>
      <c r="J16" s="15"/>
      <c r="K16" s="164"/>
      <c r="L16" s="189"/>
      <c r="N16">
        <v>83</v>
      </c>
    </row>
    <row r="17" spans="1:14" x14ac:dyDescent="0.25">
      <c r="A17" s="11" t="s">
        <v>62</v>
      </c>
      <c r="B17" s="16" t="s">
        <v>37</v>
      </c>
      <c r="C17" s="16">
        <v>0.79</v>
      </c>
      <c r="D17" s="78">
        <f t="shared" si="1"/>
        <v>462136.22730000003</v>
      </c>
      <c r="E17" s="59" t="s">
        <v>5</v>
      </c>
      <c r="F17" s="46">
        <f>250000</f>
        <v>250000</v>
      </c>
      <c r="G17" s="13">
        <f>(375720.51)*1.23-F17</f>
        <v>212136.22730000003</v>
      </c>
      <c r="H17" s="15"/>
      <c r="I17" s="15"/>
      <c r="J17" s="14"/>
      <c r="K17" s="164"/>
      <c r="L17" s="190"/>
      <c r="N17">
        <v>94</v>
      </c>
    </row>
    <row r="18" spans="1:14" ht="15.75" customHeight="1" x14ac:dyDescent="0.25">
      <c r="A18" s="142" t="s">
        <v>6</v>
      </c>
      <c r="B18" s="133" t="s">
        <v>110</v>
      </c>
      <c r="C18" s="109">
        <f>C19+C20+C21</f>
        <v>1.25</v>
      </c>
      <c r="D18" s="79">
        <f>F18+G18+H18+I18+J18+K18</f>
        <v>2581192</v>
      </c>
      <c r="E18" s="112" t="s">
        <v>90</v>
      </c>
      <c r="F18" s="48">
        <f>F19+F20+F21</f>
        <v>932586</v>
      </c>
      <c r="G18" s="22">
        <f>G19+G20+G21</f>
        <v>493750</v>
      </c>
      <c r="H18" s="22">
        <f t="shared" ref="H18:K18" si="2">H19+H20+H21</f>
        <v>361305</v>
      </c>
      <c r="I18" s="22">
        <f t="shared" si="2"/>
        <v>793551</v>
      </c>
      <c r="J18" s="18">
        <f t="shared" si="2"/>
        <v>0</v>
      </c>
      <c r="K18" s="94">
        <f t="shared" si="2"/>
        <v>0</v>
      </c>
      <c r="L18" s="6"/>
    </row>
    <row r="19" spans="1:14" ht="45.75" customHeight="1" x14ac:dyDescent="0.25">
      <c r="A19" s="11" t="s">
        <v>38</v>
      </c>
      <c r="B19" s="177" t="s">
        <v>136</v>
      </c>
      <c r="C19" s="19">
        <v>0.53</v>
      </c>
      <c r="D19" s="79">
        <f t="shared" ref="D19:D21" si="3">F19+G19+H19+I19+J19+K19</f>
        <v>1426336</v>
      </c>
      <c r="E19" s="111" t="s">
        <v>5</v>
      </c>
      <c r="F19" s="47">
        <v>932586</v>
      </c>
      <c r="G19" s="20">
        <f>1426336-932586</f>
        <v>493750</v>
      </c>
      <c r="H19" s="15"/>
      <c r="I19" s="15"/>
      <c r="J19" s="15"/>
      <c r="K19" s="164"/>
      <c r="L19" s="159" t="s">
        <v>103</v>
      </c>
    </row>
    <row r="20" spans="1:14" ht="33" customHeight="1" x14ac:dyDescent="0.25">
      <c r="A20" s="11" t="s">
        <v>39</v>
      </c>
      <c r="B20" s="97" t="s">
        <v>88</v>
      </c>
      <c r="C20" s="12">
        <v>0.25</v>
      </c>
      <c r="D20" s="79">
        <f t="shared" si="3"/>
        <v>361305</v>
      </c>
      <c r="E20" s="71">
        <v>2016</v>
      </c>
      <c r="F20" s="47"/>
      <c r="G20" s="20"/>
      <c r="H20" s="104">
        <v>361305</v>
      </c>
      <c r="I20" s="15"/>
      <c r="J20" s="15"/>
      <c r="K20" s="164"/>
      <c r="L20" s="6" t="s">
        <v>134</v>
      </c>
    </row>
    <row r="21" spans="1:14" ht="45.75" customHeight="1" x14ac:dyDescent="0.25">
      <c r="A21" s="83" t="s">
        <v>40</v>
      </c>
      <c r="B21" s="110" t="s">
        <v>87</v>
      </c>
      <c r="C21" s="54">
        <v>0.47</v>
      </c>
      <c r="D21" s="79">
        <f t="shared" si="3"/>
        <v>793551</v>
      </c>
      <c r="E21" s="71">
        <v>2017</v>
      </c>
      <c r="F21" s="47"/>
      <c r="G21" s="20"/>
      <c r="H21" s="31"/>
      <c r="I21" s="15">
        <v>793551</v>
      </c>
      <c r="J21" s="15"/>
      <c r="K21" s="174"/>
      <c r="L21" s="6" t="s">
        <v>104</v>
      </c>
    </row>
    <row r="22" spans="1:14" ht="33" customHeight="1" x14ac:dyDescent="0.25">
      <c r="A22" s="142" t="s">
        <v>7</v>
      </c>
      <c r="B22" s="124" t="s">
        <v>99</v>
      </c>
      <c r="C22" s="17">
        <v>0.22</v>
      </c>
      <c r="D22" s="80">
        <f t="shared" ref="D22:D28" si="4">F22+G22+H22+I22+J22+K22</f>
        <v>1497525</v>
      </c>
      <c r="E22" s="123" t="s">
        <v>70</v>
      </c>
      <c r="F22" s="48">
        <v>0</v>
      </c>
      <c r="G22" s="22">
        <v>0</v>
      </c>
      <c r="H22" s="99">
        <v>0</v>
      </c>
      <c r="I22" s="99">
        <f>174654</f>
        <v>174654</v>
      </c>
      <c r="J22" s="18">
        <f>1497525-I22</f>
        <v>1322871</v>
      </c>
      <c r="K22" s="94">
        <v>0</v>
      </c>
      <c r="L22" s="6" t="s">
        <v>113</v>
      </c>
    </row>
    <row r="23" spans="1:14" ht="31.5" customHeight="1" x14ac:dyDescent="0.25">
      <c r="A23" s="142" t="s">
        <v>8</v>
      </c>
      <c r="B23" s="89" t="s">
        <v>81</v>
      </c>
      <c r="C23" s="23">
        <f>C24</f>
        <v>1.42</v>
      </c>
      <c r="D23" s="79">
        <f t="shared" si="4"/>
        <v>3267726</v>
      </c>
      <c r="E23" s="146" t="s">
        <v>130</v>
      </c>
      <c r="F23" s="48">
        <f t="shared" ref="F23:K23" si="5">F24</f>
        <v>59040</v>
      </c>
      <c r="G23" s="22">
        <f t="shared" si="5"/>
        <v>1655540</v>
      </c>
      <c r="H23" s="25">
        <f t="shared" si="5"/>
        <v>354645</v>
      </c>
      <c r="I23" s="25">
        <f t="shared" si="5"/>
        <v>0</v>
      </c>
      <c r="J23" s="25">
        <f t="shared" si="5"/>
        <v>1198501</v>
      </c>
      <c r="K23" s="170">
        <f t="shared" si="5"/>
        <v>0</v>
      </c>
      <c r="L23" s="6"/>
    </row>
    <row r="24" spans="1:14" ht="60" customHeight="1" x14ac:dyDescent="0.25">
      <c r="A24" s="88" t="s">
        <v>38</v>
      </c>
      <c r="B24" s="87" t="s">
        <v>80</v>
      </c>
      <c r="C24" s="54">
        <f>1.42</f>
        <v>1.42</v>
      </c>
      <c r="D24" s="79">
        <f t="shared" si="4"/>
        <v>3267726</v>
      </c>
      <c r="E24" s="157" t="s">
        <v>130</v>
      </c>
      <c r="F24" s="52">
        <v>59040</v>
      </c>
      <c r="G24" s="58">
        <f>1655540</f>
        <v>1655540</v>
      </c>
      <c r="H24" s="86">
        <v>354645</v>
      </c>
      <c r="I24" s="86">
        <v>0</v>
      </c>
      <c r="J24" s="108">
        <v>1198501</v>
      </c>
      <c r="K24" s="175">
        <v>0</v>
      </c>
      <c r="L24" s="6" t="s">
        <v>106</v>
      </c>
    </row>
    <row r="25" spans="1:14" ht="32.25" customHeight="1" x14ac:dyDescent="0.25">
      <c r="A25" s="142" t="s">
        <v>9</v>
      </c>
      <c r="B25" s="126" t="s">
        <v>78</v>
      </c>
      <c r="C25" s="23">
        <f>C26</f>
        <v>1.07</v>
      </c>
      <c r="D25" s="79">
        <f t="shared" si="4"/>
        <v>3701320</v>
      </c>
      <c r="E25" s="128">
        <v>2016</v>
      </c>
      <c r="F25" s="48">
        <f t="shared" ref="F25:K25" si="6">F26</f>
        <v>0</v>
      </c>
      <c r="G25" s="22">
        <f t="shared" si="6"/>
        <v>0</v>
      </c>
      <c r="H25" s="22">
        <f t="shared" si="6"/>
        <v>3701320</v>
      </c>
      <c r="I25" s="22">
        <f t="shared" si="6"/>
        <v>0</v>
      </c>
      <c r="J25" s="18">
        <f t="shared" si="6"/>
        <v>0</v>
      </c>
      <c r="K25" s="94">
        <f t="shared" si="6"/>
        <v>0</v>
      </c>
      <c r="L25" s="81"/>
      <c r="M25" s="61">
        <v>204</v>
      </c>
    </row>
    <row r="26" spans="1:14" ht="92.25" customHeight="1" x14ac:dyDescent="0.25">
      <c r="A26" s="143" t="s">
        <v>38</v>
      </c>
      <c r="B26" s="57" t="s">
        <v>77</v>
      </c>
      <c r="C26" s="54">
        <v>1.07</v>
      </c>
      <c r="D26" s="79">
        <f t="shared" si="4"/>
        <v>3701320</v>
      </c>
      <c r="E26" s="55">
        <v>2016</v>
      </c>
      <c r="F26" s="52">
        <v>0</v>
      </c>
      <c r="G26" s="58"/>
      <c r="H26" s="85">
        <v>3701320</v>
      </c>
      <c r="I26" s="53"/>
      <c r="J26" s="53"/>
      <c r="K26" s="176"/>
      <c r="L26" s="3" t="s">
        <v>105</v>
      </c>
    </row>
    <row r="27" spans="1:14" ht="31.5" customHeight="1" x14ac:dyDescent="0.25">
      <c r="A27" s="142" t="s">
        <v>10</v>
      </c>
      <c r="B27" s="17" t="s">
        <v>58</v>
      </c>
      <c r="C27" s="23">
        <f>C28+C29+C30+C31</f>
        <v>1.08</v>
      </c>
      <c r="D27" s="79">
        <f t="shared" si="4"/>
        <v>2389289</v>
      </c>
      <c r="E27" s="145" t="s">
        <v>121</v>
      </c>
      <c r="F27" s="48">
        <f t="shared" ref="F27:K27" si="7">F28+F29+F30+F31</f>
        <v>0</v>
      </c>
      <c r="G27" s="22">
        <f t="shared" si="7"/>
        <v>0</v>
      </c>
      <c r="H27" s="22">
        <f t="shared" si="7"/>
        <v>278989</v>
      </c>
      <c r="I27" s="22">
        <f t="shared" si="7"/>
        <v>192982</v>
      </c>
      <c r="J27" s="18">
        <f t="shared" si="7"/>
        <v>1917318</v>
      </c>
      <c r="K27" s="94">
        <f t="shared" si="7"/>
        <v>0</v>
      </c>
      <c r="L27" s="6"/>
      <c r="M27" s="61" t="e">
        <f>M28+#REF!+#REF!+M29+M30+M31</f>
        <v>#REF!</v>
      </c>
    </row>
    <row r="28" spans="1:14" ht="30" customHeight="1" x14ac:dyDescent="0.25">
      <c r="A28" s="11" t="s">
        <v>38</v>
      </c>
      <c r="B28" s="122" t="s">
        <v>93</v>
      </c>
      <c r="C28" s="26">
        <v>0.2</v>
      </c>
      <c r="D28" s="79">
        <f t="shared" si="4"/>
        <v>278989</v>
      </c>
      <c r="E28" s="27">
        <v>2016</v>
      </c>
      <c r="F28" s="46"/>
      <c r="G28" s="13"/>
      <c r="H28" s="100">
        <v>278989</v>
      </c>
      <c r="I28" s="14"/>
      <c r="J28" s="14"/>
      <c r="K28" s="76"/>
      <c r="L28" s="6" t="s">
        <v>94</v>
      </c>
      <c r="M28" s="61">
        <f>53</f>
        <v>53</v>
      </c>
    </row>
    <row r="29" spans="1:14" ht="16.5" customHeight="1" x14ac:dyDescent="0.25">
      <c r="A29" s="144" t="s">
        <v>39</v>
      </c>
      <c r="B29" s="16" t="s">
        <v>59</v>
      </c>
      <c r="C29" s="26">
        <v>0.6</v>
      </c>
      <c r="D29" s="79">
        <f t="shared" ref="D29:D66" si="8">F29+G29+H29+I29+J29+K29</f>
        <v>1917318</v>
      </c>
      <c r="E29" s="27">
        <v>2018</v>
      </c>
      <c r="F29" s="46"/>
      <c r="G29" s="13"/>
      <c r="H29" s="14"/>
      <c r="I29" s="14"/>
      <c r="J29" s="100">
        <v>1917318</v>
      </c>
      <c r="K29" s="76"/>
      <c r="L29" s="160" t="s">
        <v>137</v>
      </c>
      <c r="M29" s="134">
        <v>92</v>
      </c>
    </row>
    <row r="30" spans="1:14" ht="17.25" customHeight="1" x14ac:dyDescent="0.25">
      <c r="A30" s="144" t="s">
        <v>40</v>
      </c>
      <c r="B30" s="113" t="s">
        <v>91</v>
      </c>
      <c r="C30" s="26">
        <v>0.15</v>
      </c>
      <c r="D30" s="79">
        <f t="shared" si="8"/>
        <v>100000</v>
      </c>
      <c r="E30" s="27">
        <v>2017</v>
      </c>
      <c r="F30" s="46"/>
      <c r="G30" s="13"/>
      <c r="H30" s="14"/>
      <c r="I30" s="14">
        <v>100000</v>
      </c>
      <c r="J30" s="14"/>
      <c r="K30" s="76"/>
      <c r="L30" s="178" t="s">
        <v>131</v>
      </c>
      <c r="M30" s="134">
        <v>244</v>
      </c>
    </row>
    <row r="31" spans="1:14" ht="15.75" customHeight="1" x14ac:dyDescent="0.25">
      <c r="A31" s="144" t="s">
        <v>41</v>
      </c>
      <c r="B31" s="98" t="s">
        <v>85</v>
      </c>
      <c r="C31" s="26">
        <v>0.13</v>
      </c>
      <c r="D31" s="79">
        <f t="shared" si="8"/>
        <v>92982</v>
      </c>
      <c r="E31" s="27">
        <v>2017</v>
      </c>
      <c r="F31" s="46"/>
      <c r="G31" s="13"/>
      <c r="H31" s="14"/>
      <c r="I31" s="14">
        <v>92982</v>
      </c>
      <c r="J31" s="14"/>
      <c r="K31" s="76"/>
      <c r="L31" s="179"/>
      <c r="M31" s="134">
        <v>48</v>
      </c>
    </row>
    <row r="32" spans="1:14" ht="90.75" customHeight="1" x14ac:dyDescent="0.25">
      <c r="A32" s="142" t="s">
        <v>11</v>
      </c>
      <c r="B32" s="17" t="s">
        <v>68</v>
      </c>
      <c r="C32" s="17">
        <v>0.28000000000000003</v>
      </c>
      <c r="D32" s="79">
        <f t="shared" si="8"/>
        <v>122334</v>
      </c>
      <c r="E32" s="24">
        <v>2016</v>
      </c>
      <c r="F32" s="48">
        <v>0</v>
      </c>
      <c r="G32" s="22">
        <v>0</v>
      </c>
      <c r="H32" s="99">
        <v>122334</v>
      </c>
      <c r="I32" s="99">
        <v>0</v>
      </c>
      <c r="J32" s="18">
        <v>0</v>
      </c>
      <c r="K32" s="94">
        <v>0</v>
      </c>
      <c r="L32" s="6" t="s">
        <v>138</v>
      </c>
      <c r="N32" s="61">
        <f>3500000*C32</f>
        <v>980000.00000000012</v>
      </c>
    </row>
    <row r="33" spans="1:13" ht="16.5" customHeight="1" x14ac:dyDescent="0.25">
      <c r="A33" s="142" t="s">
        <v>12</v>
      </c>
      <c r="B33" s="131" t="s">
        <v>109</v>
      </c>
      <c r="C33" s="23">
        <f>C34+C35+C36+C37+C38+C39</f>
        <v>0.94</v>
      </c>
      <c r="D33" s="79">
        <f t="shared" si="8"/>
        <v>2025439</v>
      </c>
      <c r="E33" s="72">
        <v>2016</v>
      </c>
      <c r="F33" s="48">
        <f>F34+F35+F36+F37+F38+F39</f>
        <v>29520</v>
      </c>
      <c r="G33" s="51">
        <f t="shared" ref="G33:K33" si="9">G34+G35+G36+G37+G38+G39</f>
        <v>0</v>
      </c>
      <c r="H33" s="18">
        <f t="shared" si="9"/>
        <v>1995919</v>
      </c>
      <c r="I33" s="18">
        <f t="shared" si="9"/>
        <v>0</v>
      </c>
      <c r="J33" s="18">
        <f t="shared" si="9"/>
        <v>0</v>
      </c>
      <c r="K33" s="94">
        <f t="shared" si="9"/>
        <v>0</v>
      </c>
      <c r="L33" s="188" t="s">
        <v>122</v>
      </c>
      <c r="M33">
        <f>SUM(M34:M39)</f>
        <v>258</v>
      </c>
    </row>
    <row r="34" spans="1:13" x14ac:dyDescent="0.25">
      <c r="A34" s="11" t="s">
        <v>38</v>
      </c>
      <c r="B34" s="106" t="s">
        <v>49</v>
      </c>
      <c r="C34" s="29">
        <v>0.35</v>
      </c>
      <c r="D34" s="79">
        <f t="shared" si="8"/>
        <v>1007722</v>
      </c>
      <c r="E34" s="30">
        <v>2016</v>
      </c>
      <c r="F34" s="49">
        <v>29520</v>
      </c>
      <c r="G34" s="45"/>
      <c r="H34" s="31">
        <v>978202</v>
      </c>
      <c r="I34" s="31"/>
      <c r="J34" s="15"/>
      <c r="K34" s="174"/>
      <c r="L34" s="189"/>
      <c r="M34" s="134">
        <v>38</v>
      </c>
    </row>
    <row r="35" spans="1:13" x14ac:dyDescent="0.25">
      <c r="A35" s="11" t="s">
        <v>39</v>
      </c>
      <c r="B35" s="106" t="s">
        <v>50</v>
      </c>
      <c r="C35" s="32">
        <v>0.09</v>
      </c>
      <c r="D35" s="79">
        <f t="shared" si="8"/>
        <v>145267</v>
      </c>
      <c r="E35" s="73">
        <v>2016</v>
      </c>
      <c r="F35" s="49"/>
      <c r="G35" s="39"/>
      <c r="H35" s="34">
        <v>145267</v>
      </c>
      <c r="I35" s="34"/>
      <c r="J35" s="34"/>
      <c r="K35" s="75"/>
      <c r="L35" s="189"/>
      <c r="M35" s="134">
        <v>19</v>
      </c>
    </row>
    <row r="36" spans="1:13" x14ac:dyDescent="0.25">
      <c r="A36" s="11" t="s">
        <v>40</v>
      </c>
      <c r="B36" s="95" t="s">
        <v>51</v>
      </c>
      <c r="C36" s="26">
        <v>0.09</v>
      </c>
      <c r="D36" s="79">
        <f t="shared" si="8"/>
        <v>157498</v>
      </c>
      <c r="E36" s="74">
        <v>2016</v>
      </c>
      <c r="F36" s="46"/>
      <c r="G36" s="13"/>
      <c r="H36" s="14">
        <v>157498</v>
      </c>
      <c r="I36" s="14"/>
      <c r="J36" s="14"/>
      <c r="K36" s="76"/>
      <c r="L36" s="189"/>
      <c r="M36" s="134">
        <v>37</v>
      </c>
    </row>
    <row r="37" spans="1:13" x14ac:dyDescent="0.25">
      <c r="A37" s="11" t="s">
        <v>41</v>
      </c>
      <c r="B37" s="95" t="s">
        <v>52</v>
      </c>
      <c r="C37" s="16">
        <f>0.11+0.1</f>
        <v>0.21000000000000002</v>
      </c>
      <c r="D37" s="79">
        <f t="shared" si="8"/>
        <v>339082</v>
      </c>
      <c r="E37" s="141">
        <v>2016</v>
      </c>
      <c r="F37" s="92"/>
      <c r="G37" s="63"/>
      <c r="H37" s="14">
        <v>339082</v>
      </c>
      <c r="I37" s="14"/>
      <c r="J37" s="14"/>
      <c r="K37" s="76"/>
      <c r="L37" s="189"/>
      <c r="M37" s="134">
        <v>40</v>
      </c>
    </row>
    <row r="38" spans="1:13" x14ac:dyDescent="0.25">
      <c r="A38" s="11" t="s">
        <v>42</v>
      </c>
      <c r="B38" s="95" t="s">
        <v>53</v>
      </c>
      <c r="C38" s="26">
        <v>0.1</v>
      </c>
      <c r="D38" s="79">
        <f t="shared" si="8"/>
        <v>281377</v>
      </c>
      <c r="E38" s="141">
        <v>2016</v>
      </c>
      <c r="F38" s="92"/>
      <c r="G38" s="63"/>
      <c r="H38" s="14">
        <v>281377</v>
      </c>
      <c r="I38" s="14"/>
      <c r="J38" s="14"/>
      <c r="K38" s="76"/>
      <c r="L38" s="189"/>
      <c r="M38" s="134">
        <v>26</v>
      </c>
    </row>
    <row r="39" spans="1:13" x14ac:dyDescent="0.25">
      <c r="A39" s="11" t="s">
        <v>43</v>
      </c>
      <c r="B39" s="95" t="s">
        <v>72</v>
      </c>
      <c r="C39" s="26">
        <v>0.1</v>
      </c>
      <c r="D39" s="79">
        <f t="shared" si="8"/>
        <v>94493</v>
      </c>
      <c r="E39" s="138">
        <v>2016</v>
      </c>
      <c r="F39" s="64"/>
      <c r="G39" s="63"/>
      <c r="H39" s="13">
        <v>94493</v>
      </c>
      <c r="I39" s="14"/>
      <c r="J39" s="14"/>
      <c r="K39" s="76"/>
      <c r="L39" s="190"/>
      <c r="M39" s="134">
        <v>98</v>
      </c>
    </row>
    <row r="40" spans="1:13" ht="60.75" customHeight="1" x14ac:dyDescent="0.25">
      <c r="A40" s="142" t="s">
        <v>13</v>
      </c>
      <c r="B40" s="17" t="s">
        <v>61</v>
      </c>
      <c r="C40" s="23">
        <f>C41+C42+C43</f>
        <v>1.865</v>
      </c>
      <c r="D40" s="79">
        <f t="shared" si="8"/>
        <v>2534947.9</v>
      </c>
      <c r="E40" s="146" t="s">
        <v>123</v>
      </c>
      <c r="F40" s="93">
        <f t="shared" ref="F40:K40" si="10">F41+F42+F43</f>
        <v>39888.9</v>
      </c>
      <c r="G40" s="51">
        <f t="shared" si="10"/>
        <v>0</v>
      </c>
      <c r="H40" s="22">
        <f t="shared" si="10"/>
        <v>1464079</v>
      </c>
      <c r="I40" s="22">
        <f t="shared" si="10"/>
        <v>102336</v>
      </c>
      <c r="J40" s="18">
        <f t="shared" si="10"/>
        <v>928644</v>
      </c>
      <c r="K40" s="94">
        <f t="shared" si="10"/>
        <v>0</v>
      </c>
      <c r="L40" s="6" t="s">
        <v>101</v>
      </c>
      <c r="M40" s="61">
        <f>SUM(M41:M43)</f>
        <v>645</v>
      </c>
    </row>
    <row r="41" spans="1:13" ht="30" x14ac:dyDescent="0.25">
      <c r="A41" s="11" t="s">
        <v>38</v>
      </c>
      <c r="B41" s="130" t="s">
        <v>65</v>
      </c>
      <c r="C41" s="16">
        <v>0.65</v>
      </c>
      <c r="D41" s="79">
        <f t="shared" si="8"/>
        <v>1040422.9</v>
      </c>
      <c r="E41" s="59">
        <v>2016</v>
      </c>
      <c r="F41" s="46">
        <v>39888.9</v>
      </c>
      <c r="G41" s="13"/>
      <c r="H41" s="100">
        <v>1000534</v>
      </c>
      <c r="I41" s="100"/>
      <c r="J41" s="40"/>
      <c r="K41" s="28"/>
      <c r="L41" s="161" t="s">
        <v>100</v>
      </c>
      <c r="M41" s="61">
        <v>297</v>
      </c>
    </row>
    <row r="42" spans="1:13" ht="60" customHeight="1" x14ac:dyDescent="0.25">
      <c r="A42" s="11" t="s">
        <v>39</v>
      </c>
      <c r="B42" s="136" t="s">
        <v>114</v>
      </c>
      <c r="C42" s="26">
        <f>0.22+0.075+0.12</f>
        <v>0.41499999999999998</v>
      </c>
      <c r="D42" s="79">
        <f t="shared" si="8"/>
        <v>928644</v>
      </c>
      <c r="E42" s="147" t="s">
        <v>124</v>
      </c>
      <c r="F42" s="46"/>
      <c r="G42" s="13"/>
      <c r="H42" s="100"/>
      <c r="I42" s="100"/>
      <c r="J42" s="14">
        <f>928644</f>
        <v>928644</v>
      </c>
      <c r="K42" s="76"/>
      <c r="L42" s="6" t="s">
        <v>115</v>
      </c>
      <c r="M42" s="61">
        <v>75</v>
      </c>
    </row>
    <row r="43" spans="1:13" ht="30.75" customHeight="1" x14ac:dyDescent="0.25">
      <c r="A43" s="11" t="s">
        <v>40</v>
      </c>
      <c r="B43" s="130" t="s">
        <v>108</v>
      </c>
      <c r="C43" s="26">
        <v>0.8</v>
      </c>
      <c r="D43" s="79">
        <f t="shared" si="8"/>
        <v>565881</v>
      </c>
      <c r="E43" s="147" t="s">
        <v>26</v>
      </c>
      <c r="F43" s="46"/>
      <c r="G43" s="13"/>
      <c r="H43" s="100">
        <v>463545</v>
      </c>
      <c r="I43" s="100">
        <v>102336</v>
      </c>
      <c r="J43" s="14"/>
      <c r="K43" s="76"/>
      <c r="L43" s="105" t="s">
        <v>86</v>
      </c>
      <c r="M43" s="134">
        <v>273</v>
      </c>
    </row>
    <row r="44" spans="1:13" ht="18" customHeight="1" x14ac:dyDescent="0.25">
      <c r="A44" s="142" t="s">
        <v>14</v>
      </c>
      <c r="B44" s="17" t="s">
        <v>67</v>
      </c>
      <c r="C44" s="17">
        <v>1.21</v>
      </c>
      <c r="D44" s="79">
        <f t="shared" si="8"/>
        <v>2224589.5373134329</v>
      </c>
      <c r="E44" s="112" t="s">
        <v>70</v>
      </c>
      <c r="F44" s="48">
        <f t="shared" ref="F44:K44" si="11">F45+F46+F47+F48</f>
        <v>0</v>
      </c>
      <c r="G44" s="22">
        <f t="shared" si="11"/>
        <v>33483.53731343284</v>
      </c>
      <c r="H44" s="18">
        <f t="shared" si="11"/>
        <v>0</v>
      </c>
      <c r="I44" s="18">
        <f t="shared" si="11"/>
        <v>811058</v>
      </c>
      <c r="J44" s="18">
        <f t="shared" si="11"/>
        <v>1380048</v>
      </c>
      <c r="K44" s="94">
        <f t="shared" si="11"/>
        <v>0</v>
      </c>
      <c r="L44" s="185" t="s">
        <v>116</v>
      </c>
      <c r="M44" s="134">
        <f>SUM(M45:M48)</f>
        <v>167</v>
      </c>
    </row>
    <row r="45" spans="1:13" x14ac:dyDescent="0.25">
      <c r="A45" s="11" t="s">
        <v>38</v>
      </c>
      <c r="B45" s="16" t="s">
        <v>47</v>
      </c>
      <c r="C45" s="16">
        <v>0.31</v>
      </c>
      <c r="D45" s="79">
        <f t="shared" si="8"/>
        <v>422505.56716417911</v>
      </c>
      <c r="E45" s="74">
        <v>2018</v>
      </c>
      <c r="F45" s="46"/>
      <c r="G45" s="13">
        <f>36777*0.32/1.34</f>
        <v>8782.5671641791032</v>
      </c>
      <c r="H45" s="14"/>
      <c r="I45" s="35"/>
      <c r="J45" s="14">
        <v>413723</v>
      </c>
      <c r="K45" s="165"/>
      <c r="L45" s="186"/>
      <c r="M45">
        <v>29</v>
      </c>
    </row>
    <row r="46" spans="1:13" x14ac:dyDescent="0.25">
      <c r="A46" s="11" t="s">
        <v>39</v>
      </c>
      <c r="B46" s="114" t="s">
        <v>96</v>
      </c>
      <c r="C46" s="26">
        <f>0.3+0.07</f>
        <v>0.37</v>
      </c>
      <c r="D46" s="79">
        <f t="shared" si="8"/>
        <v>1130664.1268656717</v>
      </c>
      <c r="E46" s="60" t="s">
        <v>70</v>
      </c>
      <c r="F46" s="46"/>
      <c r="G46" s="13">
        <f>36777*0.53/1.34</f>
        <v>14546.126865671642</v>
      </c>
      <c r="H46" s="14"/>
      <c r="I46" s="35">
        <f>495417</f>
        <v>495417</v>
      </c>
      <c r="J46" s="14">
        <f>2191106-J45-I46-I47-J47-I48-J48</f>
        <v>620701</v>
      </c>
      <c r="K46" s="76"/>
      <c r="L46" s="186"/>
      <c r="M46">
        <f>8+56</f>
        <v>64</v>
      </c>
    </row>
    <row r="47" spans="1:13" x14ac:dyDescent="0.25">
      <c r="A47" s="11" t="s">
        <v>40</v>
      </c>
      <c r="B47" s="114" t="s">
        <v>95</v>
      </c>
      <c r="C47" s="16">
        <v>0.19</v>
      </c>
      <c r="D47" s="79">
        <f t="shared" si="8"/>
        <v>216769.91791044775</v>
      </c>
      <c r="E47" s="117" t="s">
        <v>70</v>
      </c>
      <c r="F47" s="46"/>
      <c r="G47" s="13">
        <f>36777*0.13/1.34</f>
        <v>3567.9179104477612</v>
      </c>
      <c r="H47" s="14"/>
      <c r="I47" s="35">
        <v>181222</v>
      </c>
      <c r="J47" s="166">
        <f>213202-I47</f>
        <v>31980</v>
      </c>
      <c r="K47" s="76"/>
      <c r="L47" s="186"/>
      <c r="M47">
        <v>26</v>
      </c>
    </row>
    <row r="48" spans="1:13" x14ac:dyDescent="0.25">
      <c r="A48" s="116" t="s">
        <v>41</v>
      </c>
      <c r="B48" s="16" t="s">
        <v>48</v>
      </c>
      <c r="C48" s="16">
        <v>0.34</v>
      </c>
      <c r="D48" s="79">
        <f t="shared" si="8"/>
        <v>454649.92537313432</v>
      </c>
      <c r="E48" s="60" t="s">
        <v>70</v>
      </c>
      <c r="F48" s="46"/>
      <c r="G48" s="92">
        <f>36777*0.24/1.34</f>
        <v>6586.9253731343279</v>
      </c>
      <c r="H48" s="14"/>
      <c r="I48" s="35">
        <v>134419</v>
      </c>
      <c r="J48" s="14">
        <f>448063-I48</f>
        <v>313644</v>
      </c>
      <c r="K48" s="76"/>
      <c r="L48" s="187"/>
      <c r="M48">
        <v>48</v>
      </c>
    </row>
    <row r="49" spans="1:13" ht="47.25" customHeight="1" x14ac:dyDescent="0.25">
      <c r="A49" s="142" t="s">
        <v>15</v>
      </c>
      <c r="B49" s="17" t="s">
        <v>60</v>
      </c>
      <c r="C49" s="17">
        <f>C50+C51+C52+C53</f>
        <v>1.87</v>
      </c>
      <c r="D49" s="79">
        <f t="shared" si="8"/>
        <v>3569921</v>
      </c>
      <c r="E49" s="145" t="s">
        <v>26</v>
      </c>
      <c r="F49" s="48">
        <f>F50+F51+F52+F53</f>
        <v>0</v>
      </c>
      <c r="G49" s="93">
        <f>G50+G51+G52+G53</f>
        <v>91364</v>
      </c>
      <c r="H49" s="18">
        <f t="shared" ref="H49:K49" si="12">H50+H51+H52+H53</f>
        <v>2472332</v>
      </c>
      <c r="I49" s="18">
        <f t="shared" si="12"/>
        <v>1006225</v>
      </c>
      <c r="J49" s="18">
        <f t="shared" si="12"/>
        <v>0</v>
      </c>
      <c r="K49" s="94">
        <f t="shared" si="12"/>
        <v>0</v>
      </c>
      <c r="L49" s="6" t="s">
        <v>83</v>
      </c>
      <c r="M49" s="134">
        <f>SUM(M50:M53)</f>
        <v>514</v>
      </c>
    </row>
    <row r="50" spans="1:13" ht="24" customHeight="1" x14ac:dyDescent="0.25">
      <c r="A50" s="66" t="s">
        <v>38</v>
      </c>
      <c r="B50" s="16" t="s">
        <v>56</v>
      </c>
      <c r="C50" s="16">
        <v>1.07</v>
      </c>
      <c r="D50" s="79">
        <f t="shared" si="8"/>
        <v>1749314.7967914438</v>
      </c>
      <c r="E50" s="148" t="s">
        <v>26</v>
      </c>
      <c r="F50" s="67"/>
      <c r="G50" s="68">
        <f>91364*1.07/1.87</f>
        <v>52277.796791443856</v>
      </c>
      <c r="H50" s="101">
        <f>1350000+72332</f>
        <v>1422332</v>
      </c>
      <c r="I50" s="102">
        <v>274705</v>
      </c>
      <c r="J50" s="62"/>
      <c r="K50" s="167"/>
      <c r="L50" s="183" t="s">
        <v>107</v>
      </c>
      <c r="M50" s="134">
        <v>286</v>
      </c>
    </row>
    <row r="51" spans="1:13" ht="23.25" customHeight="1" x14ac:dyDescent="0.25">
      <c r="A51" s="66" t="s">
        <v>39</v>
      </c>
      <c r="B51" s="16" t="s">
        <v>55</v>
      </c>
      <c r="C51" s="16">
        <v>0.43</v>
      </c>
      <c r="D51" s="79">
        <f t="shared" si="8"/>
        <v>1071008.8342245989</v>
      </c>
      <c r="E51" s="69" t="s">
        <v>26</v>
      </c>
      <c r="F51" s="67"/>
      <c r="G51" s="68">
        <f>91364*0.43/1.87</f>
        <v>21008.834224598926</v>
      </c>
      <c r="H51" s="91">
        <f>850000+200000</f>
        <v>1050000</v>
      </c>
      <c r="I51" s="91"/>
      <c r="J51" s="62"/>
      <c r="K51" s="168"/>
      <c r="L51" s="184"/>
      <c r="M51" s="134">
        <v>43</v>
      </c>
    </row>
    <row r="52" spans="1:13" ht="24.75" customHeight="1" x14ac:dyDescent="0.25">
      <c r="A52" s="65" t="s">
        <v>40</v>
      </c>
      <c r="B52" s="16" t="s">
        <v>54</v>
      </c>
      <c r="C52" s="16">
        <v>0.23</v>
      </c>
      <c r="D52" s="79">
        <f t="shared" si="8"/>
        <v>643883.28342245985</v>
      </c>
      <c r="E52" s="27">
        <v>2017</v>
      </c>
      <c r="F52" s="46"/>
      <c r="G52" s="68">
        <f>91364*0.23/1.87</f>
        <v>11237.283422459894</v>
      </c>
      <c r="H52" s="14"/>
      <c r="I52" s="14">
        <v>632646</v>
      </c>
      <c r="J52" s="14"/>
      <c r="K52" s="76"/>
      <c r="L52" s="183" t="s">
        <v>102</v>
      </c>
      <c r="M52" s="134">
        <v>169</v>
      </c>
    </row>
    <row r="53" spans="1:13" ht="21.75" customHeight="1" x14ac:dyDescent="0.25">
      <c r="A53" s="65" t="s">
        <v>41</v>
      </c>
      <c r="B53" s="16" t="s">
        <v>57</v>
      </c>
      <c r="C53" s="16">
        <v>0.14000000000000001</v>
      </c>
      <c r="D53" s="79">
        <f t="shared" si="8"/>
        <v>105714.08556149733</v>
      </c>
      <c r="E53" s="27">
        <v>2017</v>
      </c>
      <c r="F53" s="46"/>
      <c r="G53" s="68">
        <f>91364*0.14/1.87</f>
        <v>6840.0855614973261</v>
      </c>
      <c r="H53" s="14"/>
      <c r="I53" s="14">
        <f>98874</f>
        <v>98874</v>
      </c>
      <c r="J53" s="14"/>
      <c r="K53" s="76"/>
      <c r="L53" s="184"/>
      <c r="M53" s="134">
        <v>16</v>
      </c>
    </row>
    <row r="54" spans="1:13" ht="17.25" customHeight="1" x14ac:dyDescent="0.25">
      <c r="A54" s="142" t="s">
        <v>16</v>
      </c>
      <c r="B54" s="133" t="s">
        <v>111</v>
      </c>
      <c r="C54" s="23">
        <v>0.3</v>
      </c>
      <c r="D54" s="79">
        <f t="shared" si="8"/>
        <v>450692</v>
      </c>
      <c r="E54" s="21">
        <v>2018</v>
      </c>
      <c r="F54" s="48">
        <v>0</v>
      </c>
      <c r="G54" s="22">
        <v>0</v>
      </c>
      <c r="H54" s="18">
        <v>0</v>
      </c>
      <c r="I54" s="18">
        <v>0</v>
      </c>
      <c r="J54" s="18">
        <v>450692</v>
      </c>
      <c r="K54" s="94">
        <v>0</v>
      </c>
      <c r="L54" s="6" t="s">
        <v>125</v>
      </c>
    </row>
    <row r="55" spans="1:13" ht="15" customHeight="1" x14ac:dyDescent="0.25">
      <c r="A55" s="142" t="s">
        <v>17</v>
      </c>
      <c r="B55" s="17" t="s">
        <v>27</v>
      </c>
      <c r="C55" s="23">
        <f>C56</f>
        <v>0.9</v>
      </c>
      <c r="D55" s="79">
        <f t="shared" si="8"/>
        <v>3444625</v>
      </c>
      <c r="E55" s="145" t="s">
        <v>79</v>
      </c>
      <c r="F55" s="48">
        <v>0</v>
      </c>
      <c r="G55" s="22">
        <f>G56</f>
        <v>0</v>
      </c>
      <c r="H55" s="22">
        <f>H56</f>
        <v>0</v>
      </c>
      <c r="I55" s="22">
        <f>I56</f>
        <v>0</v>
      </c>
      <c r="J55" s="18">
        <f>J56</f>
        <v>28089</v>
      </c>
      <c r="K55" s="94">
        <f>K56</f>
        <v>3416536</v>
      </c>
      <c r="L55" s="3"/>
    </row>
    <row r="56" spans="1:13" ht="75" customHeight="1" x14ac:dyDescent="0.25">
      <c r="A56" s="118" t="s">
        <v>38</v>
      </c>
      <c r="B56" s="119" t="s">
        <v>97</v>
      </c>
      <c r="C56" s="120">
        <v>0.9</v>
      </c>
      <c r="D56" s="79">
        <f t="shared" si="8"/>
        <v>3444625</v>
      </c>
      <c r="E56" s="158" t="s">
        <v>79</v>
      </c>
      <c r="F56" s="67"/>
      <c r="G56" s="68"/>
      <c r="H56" s="62"/>
      <c r="I56" s="121"/>
      <c r="J56" s="91">
        <f>28089</f>
        <v>28089</v>
      </c>
      <c r="K56" s="169">
        <f>3444625-J56</f>
        <v>3416536</v>
      </c>
      <c r="L56" s="3" t="s">
        <v>132</v>
      </c>
    </row>
    <row r="57" spans="1:13" ht="46.5" customHeight="1" x14ac:dyDescent="0.25">
      <c r="A57" s="142" t="s">
        <v>18</v>
      </c>
      <c r="B57" s="17" t="s">
        <v>69</v>
      </c>
      <c r="C57" s="23">
        <v>0.22</v>
      </c>
      <c r="D57" s="79">
        <f t="shared" si="8"/>
        <v>547055</v>
      </c>
      <c r="E57" s="82">
        <v>2016</v>
      </c>
      <c r="F57" s="48">
        <v>0</v>
      </c>
      <c r="G57" s="22">
        <v>0</v>
      </c>
      <c r="H57" s="99">
        <v>547055</v>
      </c>
      <c r="I57" s="18">
        <v>0</v>
      </c>
      <c r="J57" s="18">
        <v>0</v>
      </c>
      <c r="K57" s="94">
        <v>0</v>
      </c>
      <c r="L57" s="6" t="s">
        <v>89</v>
      </c>
    </row>
    <row r="58" spans="1:13" ht="61.5" customHeight="1" x14ac:dyDescent="0.25">
      <c r="A58" s="142" t="s">
        <v>19</v>
      </c>
      <c r="B58" s="56" t="s">
        <v>112</v>
      </c>
      <c r="C58" s="23">
        <f>2.86</f>
        <v>2.86</v>
      </c>
      <c r="D58" s="79">
        <f t="shared" si="8"/>
        <v>5361976</v>
      </c>
      <c r="E58" s="82">
        <v>2017</v>
      </c>
      <c r="F58" s="48">
        <v>0</v>
      </c>
      <c r="G58" s="22">
        <v>0</v>
      </c>
      <c r="H58" s="18">
        <v>0</v>
      </c>
      <c r="I58" s="99">
        <v>5361976</v>
      </c>
      <c r="J58" s="18">
        <v>0</v>
      </c>
      <c r="K58" s="94">
        <v>0</v>
      </c>
      <c r="L58" s="90" t="s">
        <v>133</v>
      </c>
    </row>
    <row r="59" spans="1:13" ht="30.75" customHeight="1" x14ac:dyDescent="0.25">
      <c r="A59" s="142" t="s">
        <v>20</v>
      </c>
      <c r="B59" s="36" t="s">
        <v>63</v>
      </c>
      <c r="C59" s="37">
        <f>C60</f>
        <v>0.11</v>
      </c>
      <c r="D59" s="79">
        <f t="shared" si="8"/>
        <v>610056.22499999998</v>
      </c>
      <c r="E59" s="129">
        <v>2018</v>
      </c>
      <c r="F59" s="50">
        <f t="shared" ref="F59:K59" si="13">F60</f>
        <v>39973.224999999999</v>
      </c>
      <c r="G59" s="38">
        <f t="shared" si="13"/>
        <v>0</v>
      </c>
      <c r="H59" s="25">
        <f t="shared" si="13"/>
        <v>0</v>
      </c>
      <c r="I59" s="25">
        <f t="shared" si="13"/>
        <v>0</v>
      </c>
      <c r="J59" s="18">
        <f t="shared" si="13"/>
        <v>570083</v>
      </c>
      <c r="K59" s="170">
        <f t="shared" si="13"/>
        <v>0</v>
      </c>
      <c r="L59" s="182" t="s">
        <v>126</v>
      </c>
      <c r="M59" s="8"/>
    </row>
    <row r="60" spans="1:13" x14ac:dyDescent="0.25">
      <c r="A60" s="11" t="s">
        <v>38</v>
      </c>
      <c r="B60" s="29" t="s">
        <v>64</v>
      </c>
      <c r="C60" s="32">
        <v>0.11</v>
      </c>
      <c r="D60" s="79">
        <f t="shared" si="8"/>
        <v>610056.22499999998</v>
      </c>
      <c r="E60" s="33">
        <v>2018</v>
      </c>
      <c r="F60" s="49">
        <f>(18450+61496.45)/2</f>
        <v>39973.224999999999</v>
      </c>
      <c r="G60" s="39"/>
      <c r="H60" s="34"/>
      <c r="I60" s="34"/>
      <c r="J60" s="171">
        <v>570083</v>
      </c>
      <c r="K60" s="75"/>
      <c r="L60" s="182"/>
    </row>
    <row r="61" spans="1:13" ht="49.5" customHeight="1" x14ac:dyDescent="0.25">
      <c r="A61" s="149" t="s">
        <v>21</v>
      </c>
      <c r="B61" s="17" t="s">
        <v>73</v>
      </c>
      <c r="C61" s="84">
        <v>0.14000000000000001</v>
      </c>
      <c r="D61" s="79">
        <f t="shared" si="8"/>
        <v>434451</v>
      </c>
      <c r="E61" s="21">
        <v>2016</v>
      </c>
      <c r="F61" s="48">
        <v>19926</v>
      </c>
      <c r="G61" s="22">
        <v>0</v>
      </c>
      <c r="H61" s="99">
        <v>414525</v>
      </c>
      <c r="I61" s="99">
        <v>0</v>
      </c>
      <c r="J61" s="18">
        <v>0</v>
      </c>
      <c r="K61" s="94">
        <v>0</v>
      </c>
      <c r="L61" s="70" t="s">
        <v>117</v>
      </c>
    </row>
    <row r="62" spans="1:13" ht="75.75" customHeight="1" x14ac:dyDescent="0.25">
      <c r="A62" s="151" t="s">
        <v>127</v>
      </c>
      <c r="B62" s="142" t="s">
        <v>74</v>
      </c>
      <c r="C62" s="84">
        <v>0.27</v>
      </c>
      <c r="D62" s="79">
        <f t="shared" si="8"/>
        <v>172892</v>
      </c>
      <c r="E62" s="132">
        <v>2016</v>
      </c>
      <c r="F62" s="48">
        <v>0</v>
      </c>
      <c r="G62" s="51">
        <v>0</v>
      </c>
      <c r="H62" s="99">
        <v>172892</v>
      </c>
      <c r="I62" s="99">
        <v>0</v>
      </c>
      <c r="J62" s="18">
        <v>0</v>
      </c>
      <c r="K62" s="94">
        <v>0</v>
      </c>
      <c r="L62" s="150" t="s">
        <v>128</v>
      </c>
      <c r="M62" s="8"/>
    </row>
    <row r="63" spans="1:13" ht="78" customHeight="1" x14ac:dyDescent="0.25">
      <c r="A63" s="149" t="s">
        <v>22</v>
      </c>
      <c r="B63" s="103" t="s">
        <v>118</v>
      </c>
      <c r="C63" s="23">
        <v>0.65</v>
      </c>
      <c r="D63" s="79">
        <f t="shared" si="8"/>
        <v>6633431</v>
      </c>
      <c r="E63" s="115" t="s">
        <v>79</v>
      </c>
      <c r="F63" s="48">
        <v>0</v>
      </c>
      <c r="G63" s="51">
        <v>0</v>
      </c>
      <c r="H63" s="18">
        <v>0</v>
      </c>
      <c r="I63" s="18">
        <v>0</v>
      </c>
      <c r="J63" s="18">
        <v>4231731</v>
      </c>
      <c r="K63" s="94">
        <f>6633431-J63</f>
        <v>2401700</v>
      </c>
      <c r="L63" s="140" t="s">
        <v>120</v>
      </c>
      <c r="M63" s="8"/>
    </row>
    <row r="64" spans="1:13" ht="30" x14ac:dyDescent="0.25">
      <c r="A64" s="149" t="s">
        <v>23</v>
      </c>
      <c r="B64" s="103" t="s">
        <v>82</v>
      </c>
      <c r="C64" s="23">
        <v>0.5</v>
      </c>
      <c r="D64" s="79">
        <f t="shared" si="8"/>
        <v>2179265</v>
      </c>
      <c r="E64" s="96" t="s">
        <v>26</v>
      </c>
      <c r="F64" s="48">
        <v>0</v>
      </c>
      <c r="G64" s="51">
        <v>0</v>
      </c>
      <c r="H64" s="99">
        <v>0</v>
      </c>
      <c r="I64" s="99">
        <f>1200000+979265</f>
        <v>2179265</v>
      </c>
      <c r="J64" s="18">
        <v>0</v>
      </c>
      <c r="K64" s="94">
        <v>0</v>
      </c>
      <c r="L64" s="139" t="s">
        <v>139</v>
      </c>
      <c r="M64" s="135">
        <f>151+848</f>
        <v>999</v>
      </c>
    </row>
    <row r="65" spans="1:13" ht="46.5" customHeight="1" x14ac:dyDescent="0.25">
      <c r="A65" s="152" t="s">
        <v>24</v>
      </c>
      <c r="B65" s="103" t="s">
        <v>98</v>
      </c>
      <c r="C65" s="23">
        <v>0.22</v>
      </c>
      <c r="D65" s="79">
        <f t="shared" si="8"/>
        <v>661398</v>
      </c>
      <c r="E65" s="123" t="s">
        <v>79</v>
      </c>
      <c r="F65" s="48">
        <v>0</v>
      </c>
      <c r="G65" s="51">
        <v>0</v>
      </c>
      <c r="H65" s="99">
        <v>0</v>
      </c>
      <c r="I65" s="99">
        <v>0</v>
      </c>
      <c r="J65" s="18">
        <f>34109</f>
        <v>34109</v>
      </c>
      <c r="K65" s="94">
        <f>661398-J65</f>
        <v>627289</v>
      </c>
      <c r="L65" s="139" t="s">
        <v>129</v>
      </c>
      <c r="M65" s="8"/>
    </row>
    <row r="66" spans="1:13" ht="60.75" thickBot="1" x14ac:dyDescent="0.3">
      <c r="A66" s="153" t="s">
        <v>25</v>
      </c>
      <c r="B66" s="103" t="s">
        <v>84</v>
      </c>
      <c r="C66" s="23">
        <v>0.6</v>
      </c>
      <c r="D66" s="79">
        <f t="shared" si="8"/>
        <v>1397125</v>
      </c>
      <c r="E66" s="96" t="s">
        <v>26</v>
      </c>
      <c r="F66" s="48">
        <v>0</v>
      </c>
      <c r="G66" s="51">
        <v>0</v>
      </c>
      <c r="H66" s="99">
        <f>458396</f>
        <v>458396</v>
      </c>
      <c r="I66" s="99">
        <f>1397125-H66</f>
        <v>938729</v>
      </c>
      <c r="J66" s="18">
        <v>0</v>
      </c>
      <c r="K66" s="94">
        <v>0</v>
      </c>
      <c r="L66" s="137" t="s">
        <v>119</v>
      </c>
      <c r="M66" s="135">
        <f>422+515</f>
        <v>937</v>
      </c>
    </row>
    <row r="67" spans="1:13" ht="24" customHeight="1" thickBot="1" x14ac:dyDescent="0.3">
      <c r="A67" s="180" t="s">
        <v>92</v>
      </c>
      <c r="B67" s="181"/>
      <c r="C67" s="7">
        <f>C8+C18+C22+C23+C25+C27+C32+C33+C40+C44+C49+C54+C55+C57+C58+C59+C61+C62+C63+C64+C65+C66</f>
        <v>20.135000000000002</v>
      </c>
      <c r="D67" s="7">
        <f>D8+D18+D22+D23+D25+D27+D32+D33+D40+D44+D49+D54+D55+D57+D58+D59+D61+D62+D63+D64+D65+D66</f>
        <v>50128249.671313427</v>
      </c>
      <c r="E67" s="7"/>
      <c r="F67" s="155">
        <f>F8+F18+F22+F23+F25+F27+F32+F33+F40+F44+F49+F54+F55+F57+F58+F59+F61+F62+F63+F64+F65+F66</f>
        <v>2220934.1638000002</v>
      </c>
      <c r="G67" s="154">
        <f>G8+G18+G22+G23+G25+G27+G32+G33+G40+G44+G49+G54+G55+G57+G58+G59+G61+G62+G63+G64+G65+G66</f>
        <v>5495137.5075134328</v>
      </c>
      <c r="H67" s="7">
        <f t="shared" ref="H67:K67" si="14">H8+H18+H22+H23+H25+H27+H32+H33+H40+H44+H49+H54+H55+H57+H58+H59+H61+H62+H63+H64+H65+H66</f>
        <v>12343791</v>
      </c>
      <c r="I67" s="7">
        <f t="shared" si="14"/>
        <v>11560776</v>
      </c>
      <c r="J67" s="173">
        <f t="shared" si="14"/>
        <v>12062086</v>
      </c>
      <c r="K67" s="172">
        <f t="shared" si="14"/>
        <v>6445525</v>
      </c>
      <c r="L67" s="162" t="s">
        <v>71</v>
      </c>
      <c r="M67" s="4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3" x14ac:dyDescent="0.25">
      <c r="E72" s="5"/>
    </row>
  </sheetData>
  <mergeCells count="17">
    <mergeCell ref="L8:L17"/>
    <mergeCell ref="E6:E7"/>
    <mergeCell ref="A4:L4"/>
    <mergeCell ref="D6:D7"/>
    <mergeCell ref="C6:C7"/>
    <mergeCell ref="B6:B7"/>
    <mergeCell ref="A6:A7"/>
    <mergeCell ref="L6:L7"/>
    <mergeCell ref="F6:F7"/>
    <mergeCell ref="G6:K6"/>
    <mergeCell ref="L30:L31"/>
    <mergeCell ref="A67:B67"/>
    <mergeCell ref="L59:L60"/>
    <mergeCell ref="L52:L53"/>
    <mergeCell ref="L44:L48"/>
    <mergeCell ref="L33:L39"/>
    <mergeCell ref="L50:L51"/>
  </mergeCells>
  <pageMargins left="0.43307086614173229" right="0.15748031496062992" top="0.39370078740157483" bottom="0.55118110236220474" header="0.15748031496062992" footer="0.19685039370078741"/>
  <pageSetup paperSize="9" scale="66" orientation="landscape" r:id="rId1"/>
  <rowBreaks count="1" manualBreakCount="1">
    <brk id="3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2021-09-24T12:40:16Z</dcterms:modified>
</cp:coreProperties>
</file>